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70" windowWidth="18195" windowHeight="10620" tabRatio="777"/>
  </bookViews>
  <sheets>
    <sheet name="Таблица 1" sheetId="1" r:id="rId1"/>
    <sheet name="Таблица 2" sheetId="6" r:id="rId2"/>
    <sheet name="Таблица 3" sheetId="7" r:id="rId3"/>
    <sheet name="Таблица 4" sheetId="8" r:id="rId4"/>
    <sheet name="Таблица 5" sheetId="5" r:id="rId5"/>
    <sheet name="Госпрограммы" sheetId="10" r:id="rId6"/>
    <sheet name="Остатки" sheetId="11" r:id="rId7"/>
    <sheet name="Передача полномочий" sheetId="12" r:id="rId8"/>
  </sheets>
  <calcPr calcId="145621"/>
</workbook>
</file>

<file path=xl/calcChain.xml><?xml version="1.0" encoding="utf-8"?>
<calcChain xmlns="http://schemas.openxmlformats.org/spreadsheetml/2006/main">
  <c r="E16" i="11" l="1"/>
  <c r="A20" i="11"/>
  <c r="I32" i="7" l="1"/>
  <c r="L17" i="10" l="1"/>
  <c r="L16" i="10"/>
  <c r="L15" i="10"/>
  <c r="L13" i="10"/>
  <c r="L12" i="10"/>
  <c r="L11" i="10"/>
  <c r="L10" i="10"/>
  <c r="L8" i="10"/>
  <c r="L6" i="10"/>
  <c r="L5" i="10"/>
  <c r="K17" i="10"/>
  <c r="M17" i="10" s="1"/>
  <c r="K16" i="10"/>
  <c r="M16" i="10" s="1"/>
  <c r="K13" i="10"/>
  <c r="K10" i="10"/>
  <c r="M10" i="10" s="1"/>
  <c r="K6" i="10"/>
  <c r="M6" i="10" s="1"/>
  <c r="K5" i="10"/>
  <c r="M5" i="10" s="1"/>
  <c r="K4" i="10"/>
  <c r="L4" i="10"/>
  <c r="L18" i="10" s="1"/>
  <c r="K12" i="10"/>
  <c r="M12" i="10" s="1"/>
  <c r="K8" i="10"/>
  <c r="M8" i="10" s="1"/>
  <c r="K11" i="10"/>
  <c r="K15" i="10"/>
  <c r="M15" i="10" s="1"/>
  <c r="H17" i="10"/>
  <c r="H16" i="10"/>
  <c r="J16" i="10" s="1"/>
  <c r="H15" i="10"/>
  <c r="H13" i="10"/>
  <c r="J13" i="10" s="1"/>
  <c r="H12" i="10"/>
  <c r="H11" i="10"/>
  <c r="J11" i="10" s="1"/>
  <c r="H10" i="10"/>
  <c r="H8" i="10"/>
  <c r="H6" i="10"/>
  <c r="H5" i="10"/>
  <c r="H4" i="10"/>
  <c r="G6" i="10"/>
  <c r="I6" i="10" s="1"/>
  <c r="G13" i="10"/>
  <c r="G15" i="10"/>
  <c r="I15" i="10" s="1"/>
  <c r="G16" i="10"/>
  <c r="G5" i="10"/>
  <c r="I5" i="10" s="1"/>
  <c r="G10" i="10"/>
  <c r="I10" i="10" s="1"/>
  <c r="G17" i="10"/>
  <c r="I17" i="10" s="1"/>
  <c r="G4" i="10"/>
  <c r="I4" i="10" s="1"/>
  <c r="G12" i="10"/>
  <c r="I12" i="10" s="1"/>
  <c r="G11" i="10"/>
  <c r="G8" i="10"/>
  <c r="I8" i="10" s="1"/>
  <c r="B22" i="10"/>
  <c r="A22" i="10"/>
  <c r="C22" i="10" s="1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J5" i="10" l="1"/>
  <c r="J8" i="10"/>
  <c r="D22" i="10"/>
  <c r="I11" i="10"/>
  <c r="I16" i="10"/>
  <c r="I13" i="10"/>
  <c r="J4" i="10"/>
  <c r="J6" i="10"/>
  <c r="J10" i="10"/>
  <c r="J12" i="10"/>
  <c r="J15" i="10"/>
  <c r="J17" i="10"/>
  <c r="M11" i="10"/>
  <c r="M4" i="10"/>
  <c r="M13" i="10"/>
  <c r="H18" i="10"/>
  <c r="K18" i="10"/>
  <c r="M18" i="10" s="1"/>
  <c r="G18" i="10"/>
  <c r="I18" i="10" s="1"/>
  <c r="I22" i="10" s="1"/>
  <c r="E7" i="11"/>
  <c r="F14" i="11"/>
  <c r="C12" i="11"/>
  <c r="J18" i="10" l="1"/>
  <c r="N13" i="1"/>
  <c r="Q24" i="1" l="1"/>
  <c r="H17" i="6" l="1"/>
  <c r="M32" i="6"/>
  <c r="M10" i="6"/>
  <c r="D13" i="12" l="1"/>
  <c r="D12" i="12"/>
  <c r="D11" i="12"/>
  <c r="D10" i="12"/>
  <c r="D9" i="12"/>
  <c r="D8" i="12"/>
  <c r="D7" i="12"/>
  <c r="D6" i="12"/>
  <c r="D5" i="12"/>
  <c r="D4" i="12"/>
  <c r="D3" i="12"/>
  <c r="C14" i="12"/>
  <c r="B14" i="12"/>
  <c r="D14" i="12" l="1"/>
  <c r="I28" i="1" l="1"/>
  <c r="B15" i="8" l="1"/>
  <c r="F26" i="8" l="1"/>
  <c r="E26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C26" i="8"/>
  <c r="C27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D10" i="1" l="1"/>
  <c r="H10" i="1" l="1"/>
  <c r="G20" i="7" l="1"/>
  <c r="H64" i="6"/>
  <c r="H67" i="6"/>
  <c r="G68" i="6"/>
  <c r="F68" i="6"/>
  <c r="G57" i="6"/>
  <c r="F57" i="6"/>
  <c r="F45" i="6"/>
  <c r="F34" i="6"/>
  <c r="H31" i="6"/>
  <c r="E25" i="6" l="1"/>
  <c r="D25" i="6"/>
  <c r="C25" i="6"/>
  <c r="H28" i="6"/>
  <c r="G28" i="6"/>
  <c r="F28" i="6"/>
  <c r="P13" i="5" l="1"/>
  <c r="P26" i="5"/>
  <c r="J12" i="5" l="1"/>
  <c r="L26" i="5"/>
  <c r="B28" i="8" l="1"/>
  <c r="B20" i="8"/>
  <c r="B27" i="8"/>
  <c r="B25" i="8"/>
  <c r="B24" i="8"/>
  <c r="B23" i="8"/>
  <c r="B22" i="8"/>
  <c r="B21" i="8"/>
  <c r="B19" i="8"/>
  <c r="B18" i="8"/>
  <c r="B17" i="8"/>
  <c r="B16" i="8"/>
  <c r="B14" i="8"/>
  <c r="B13" i="8"/>
  <c r="B12" i="8"/>
  <c r="B11" i="8"/>
  <c r="B10" i="8"/>
  <c r="H12" i="5" l="1"/>
  <c r="D8" i="1" l="1"/>
  <c r="F9" i="7"/>
  <c r="F25" i="7"/>
  <c r="C25" i="7" l="1"/>
  <c r="C9" i="7"/>
  <c r="C61" i="6" l="1"/>
  <c r="C50" i="6"/>
  <c r="C36" i="6"/>
  <c r="C32" i="6" s="1"/>
  <c r="C33" i="6"/>
  <c r="C20" i="6"/>
  <c r="C14" i="6"/>
  <c r="C9" i="6" l="1"/>
  <c r="H26" i="5"/>
  <c r="E12" i="5" l="1"/>
  <c r="G12" i="5" s="1"/>
  <c r="I12" i="5" s="1"/>
  <c r="K12" i="5" s="1"/>
  <c r="M12" i="5" s="1"/>
  <c r="O12" i="5" s="1"/>
  <c r="E11" i="5"/>
  <c r="G11" i="5" s="1"/>
  <c r="I11" i="5" s="1"/>
  <c r="K11" i="5" s="1"/>
  <c r="M11" i="5" s="1"/>
  <c r="O11" i="5" s="1"/>
  <c r="D40" i="7"/>
  <c r="Q11" i="5" l="1"/>
  <c r="Q12" i="5"/>
  <c r="S12" i="5" s="1"/>
  <c r="A12" i="11"/>
  <c r="A14" i="11" s="1"/>
  <c r="Q13" i="5" l="1"/>
  <c r="S11" i="5"/>
  <c r="E8" i="1" s="1"/>
  <c r="R13" i="5" l="1"/>
  <c r="G31" i="6" l="1"/>
  <c r="H45" i="6"/>
  <c r="H51" i="6"/>
  <c r="G64" i="6"/>
  <c r="F64" i="6"/>
  <c r="C11" i="6"/>
  <c r="E14" i="6" l="1"/>
  <c r="D14" i="6"/>
  <c r="D11" i="6" s="1"/>
  <c r="H13" i="6"/>
  <c r="F67" i="6"/>
  <c r="G67" i="6"/>
  <c r="G17" i="6"/>
  <c r="F17" i="6"/>
  <c r="H18" i="6"/>
  <c r="G18" i="6"/>
  <c r="F18" i="6"/>
  <c r="H14" i="6" l="1"/>
  <c r="E11" i="6"/>
  <c r="G14" i="6"/>
  <c r="F14" i="6"/>
  <c r="M13" i="5"/>
  <c r="F40" i="7"/>
  <c r="E40" i="7"/>
  <c r="C40" i="7"/>
  <c r="I17" i="7"/>
  <c r="H17" i="7"/>
  <c r="J13" i="7"/>
  <c r="H13" i="7"/>
  <c r="J17" i="6" l="1"/>
  <c r="J16" i="6"/>
  <c r="J18" i="6"/>
  <c r="J13" i="6"/>
  <c r="J14" i="6"/>
  <c r="F34" i="7"/>
  <c r="E34" i="7"/>
  <c r="D34" i="7"/>
  <c r="C34" i="7"/>
  <c r="N26" i="5" l="1"/>
  <c r="O13" i="5"/>
  <c r="N13" i="5"/>
  <c r="L13" i="5" l="1"/>
  <c r="B29" i="8" l="1"/>
  <c r="D29" i="8"/>
  <c r="C29" i="8"/>
  <c r="F27" i="8" l="1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E27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F10" i="8"/>
  <c r="E10" i="8"/>
  <c r="E29" i="8" l="1"/>
  <c r="F31" i="6" l="1"/>
  <c r="E11" i="1" l="1"/>
  <c r="D26" i="5"/>
  <c r="E9" i="7" l="1"/>
  <c r="G24" i="8"/>
  <c r="G20" i="8"/>
  <c r="G16" i="8"/>
  <c r="G12" i="8"/>
  <c r="G10" i="8"/>
  <c r="H14" i="8" l="1"/>
  <c r="G14" i="8"/>
  <c r="H18" i="8"/>
  <c r="G18" i="8"/>
  <c r="H22" i="8"/>
  <c r="G22" i="8"/>
  <c r="H27" i="8"/>
  <c r="G27" i="8"/>
  <c r="H11" i="8"/>
  <c r="G11" i="8"/>
  <c r="H13" i="8"/>
  <c r="G13" i="8"/>
  <c r="H15" i="8"/>
  <c r="G15" i="8"/>
  <c r="H17" i="8"/>
  <c r="G17" i="8"/>
  <c r="H19" i="8"/>
  <c r="G19" i="8"/>
  <c r="H21" i="8"/>
  <c r="G21" i="8"/>
  <c r="H23" i="8"/>
  <c r="G23" i="8"/>
  <c r="H25" i="8"/>
  <c r="G25" i="8"/>
  <c r="H12" i="8"/>
  <c r="H16" i="8"/>
  <c r="H20" i="8"/>
  <c r="H24" i="8"/>
  <c r="H10" i="8"/>
  <c r="F22" i="7"/>
  <c r="E22" i="7"/>
  <c r="D22" i="7"/>
  <c r="C17" i="5" s="1"/>
  <c r="G24" i="7"/>
  <c r="D9" i="7"/>
  <c r="G13" i="7"/>
  <c r="C15" i="5" l="1"/>
  <c r="E15" i="5" s="1"/>
  <c r="G29" i="8"/>
  <c r="I13" i="7"/>
  <c r="G51" i="6"/>
  <c r="G45" i="6"/>
  <c r="G39" i="6"/>
  <c r="F39" i="6"/>
  <c r="G42" i="6"/>
  <c r="H27" i="6"/>
  <c r="G27" i="6"/>
  <c r="F27" i="6"/>
  <c r="H26" i="6"/>
  <c r="G26" i="6"/>
  <c r="F26" i="6"/>
  <c r="G13" i="6"/>
  <c r="F13" i="6"/>
  <c r="F51" i="6" l="1"/>
  <c r="F42" i="6"/>
  <c r="H39" i="6"/>
  <c r="H23" i="6"/>
  <c r="H29" i="8" l="1"/>
  <c r="F29" i="8"/>
  <c r="L16" i="7"/>
  <c r="M16" i="7" s="1"/>
  <c r="G55" i="6"/>
  <c r="F55" i="6"/>
  <c r="H55" i="6"/>
  <c r="D15" i="1"/>
  <c r="D13" i="1"/>
  <c r="C9" i="1" l="1"/>
  <c r="D11" i="1"/>
  <c r="J26" i="5"/>
  <c r="J13" i="5"/>
  <c r="H13" i="5"/>
  <c r="C13" i="5"/>
  <c r="D13" i="5" l="1"/>
  <c r="L59" i="7"/>
  <c r="M59" i="7" s="1"/>
  <c r="L58" i="7"/>
  <c r="M58" i="7" s="1"/>
  <c r="L56" i="7"/>
  <c r="M56" i="7" s="1"/>
  <c r="L55" i="7"/>
  <c r="M55" i="7" s="1"/>
  <c r="L53" i="7"/>
  <c r="M53" i="7" s="1"/>
  <c r="L52" i="7"/>
  <c r="M52" i="7" s="1"/>
  <c r="L51" i="7"/>
  <c r="M51" i="7" s="1"/>
  <c r="L50" i="7"/>
  <c r="M50" i="7" s="1"/>
  <c r="L49" i="7"/>
  <c r="M49" i="7" s="1"/>
  <c r="L47" i="7"/>
  <c r="M47" i="7" s="1"/>
  <c r="L45" i="7"/>
  <c r="M45" i="7" s="1"/>
  <c r="L44" i="7"/>
  <c r="M44" i="7" s="1"/>
  <c r="L42" i="7"/>
  <c r="M42" i="7" s="1"/>
  <c r="L41" i="7"/>
  <c r="M41" i="7" s="1"/>
  <c r="L39" i="7"/>
  <c r="M39" i="7" s="1"/>
  <c r="L37" i="7"/>
  <c r="M37" i="7" s="1"/>
  <c r="L36" i="7"/>
  <c r="M36" i="7" s="1"/>
  <c r="L35" i="7"/>
  <c r="M35" i="7" s="1"/>
  <c r="L33" i="7"/>
  <c r="M33" i="7" s="1"/>
  <c r="L32" i="7"/>
  <c r="M32" i="7" s="1"/>
  <c r="L31" i="7"/>
  <c r="M31" i="7" s="1"/>
  <c r="L30" i="7"/>
  <c r="M30" i="7" s="1"/>
  <c r="L29" i="7"/>
  <c r="M29" i="7" s="1"/>
  <c r="L28" i="7"/>
  <c r="M28" i="7" s="1"/>
  <c r="L27" i="7"/>
  <c r="M27" i="7" s="1"/>
  <c r="L26" i="7"/>
  <c r="M26" i="7" s="1"/>
  <c r="L23" i="7"/>
  <c r="M23" i="7" s="1"/>
  <c r="L21" i="7"/>
  <c r="M21" i="7" s="1"/>
  <c r="L20" i="7"/>
  <c r="M20" i="7" s="1"/>
  <c r="L18" i="7"/>
  <c r="M18" i="7" s="1"/>
  <c r="L17" i="7"/>
  <c r="M17" i="7" s="1"/>
  <c r="L14" i="7"/>
  <c r="M14" i="7" s="1"/>
  <c r="L13" i="7"/>
  <c r="M13" i="7" s="1"/>
  <c r="L12" i="7"/>
  <c r="M12" i="7" s="1"/>
  <c r="L11" i="7"/>
  <c r="M11" i="7" s="1"/>
  <c r="L10" i="7"/>
  <c r="M10" i="7" s="1"/>
  <c r="D61" i="6" l="1"/>
  <c r="D36" i="6"/>
  <c r="D32" i="6" s="1"/>
  <c r="H34" i="6"/>
  <c r="G34" i="6" l="1"/>
  <c r="E61" i="6"/>
  <c r="K61" i="6" s="1"/>
  <c r="L61" i="6" s="1"/>
  <c r="E36" i="6"/>
  <c r="E32" i="6" s="1"/>
  <c r="F23" i="6"/>
  <c r="G23" i="6"/>
  <c r="G12" i="6"/>
  <c r="K36" i="6" l="1"/>
  <c r="L36" i="6" s="1"/>
  <c r="F13" i="1"/>
  <c r="H59" i="7"/>
  <c r="H58" i="7"/>
  <c r="H56" i="7"/>
  <c r="H53" i="7"/>
  <c r="H52" i="7"/>
  <c r="H51" i="7"/>
  <c r="H50" i="7"/>
  <c r="H49" i="7"/>
  <c r="H47" i="7"/>
  <c r="H45" i="7"/>
  <c r="H44" i="7"/>
  <c r="H42" i="7"/>
  <c r="H41" i="7"/>
  <c r="H39" i="7"/>
  <c r="H37" i="7"/>
  <c r="H36" i="7"/>
  <c r="H35" i="7"/>
  <c r="H33" i="7"/>
  <c r="H32" i="7"/>
  <c r="H31" i="7"/>
  <c r="H30" i="7"/>
  <c r="H28" i="7"/>
  <c r="H26" i="7"/>
  <c r="H23" i="7"/>
  <c r="H21" i="7"/>
  <c r="H20" i="7"/>
  <c r="H18" i="7"/>
  <c r="H14" i="7"/>
  <c r="H12" i="7"/>
  <c r="H11" i="7"/>
  <c r="H10" i="7"/>
  <c r="F38" i="7"/>
  <c r="I18" i="1" s="1"/>
  <c r="E38" i="7"/>
  <c r="F18" i="1" s="1"/>
  <c r="D38" i="7"/>
  <c r="C20" i="5" s="1"/>
  <c r="D18" i="1" s="1"/>
  <c r="G17" i="7"/>
  <c r="F57" i="7"/>
  <c r="I23" i="1" s="1"/>
  <c r="F54" i="7"/>
  <c r="I22" i="1" s="1"/>
  <c r="F48" i="7"/>
  <c r="I21" i="1" s="1"/>
  <c r="F46" i="7"/>
  <c r="I20" i="1" s="1"/>
  <c r="I19" i="1"/>
  <c r="I17" i="1"/>
  <c r="I15" i="1"/>
  <c r="F19" i="7"/>
  <c r="I14" i="1" s="1"/>
  <c r="E57" i="7"/>
  <c r="F23" i="1" s="1"/>
  <c r="E54" i="7"/>
  <c r="F22" i="1" s="1"/>
  <c r="E48" i="7"/>
  <c r="F21" i="1" s="1"/>
  <c r="E46" i="7"/>
  <c r="F20" i="1" s="1"/>
  <c r="F19" i="1"/>
  <c r="E25" i="7"/>
  <c r="F15" i="1"/>
  <c r="E19" i="7"/>
  <c r="F14" i="1" s="1"/>
  <c r="D57" i="7"/>
  <c r="C25" i="5" s="1"/>
  <c r="D23" i="1" s="1"/>
  <c r="D54" i="7"/>
  <c r="C24" i="5" s="1"/>
  <c r="D22" i="1" s="1"/>
  <c r="D48" i="7"/>
  <c r="C23" i="5" s="1"/>
  <c r="D21" i="1" s="1"/>
  <c r="D46" i="7"/>
  <c r="C22" i="5" s="1"/>
  <c r="E22" i="5" s="1"/>
  <c r="C21" i="5"/>
  <c r="D19" i="1" s="1"/>
  <c r="C19" i="5"/>
  <c r="D25" i="7"/>
  <c r="C18" i="5" s="1"/>
  <c r="D16" i="1" s="1"/>
  <c r="D19" i="7"/>
  <c r="J59" i="7"/>
  <c r="I59" i="7"/>
  <c r="G59" i="7"/>
  <c r="J58" i="7"/>
  <c r="I58" i="7"/>
  <c r="G58" i="7"/>
  <c r="C57" i="7"/>
  <c r="C23" i="1" s="1"/>
  <c r="J56" i="7"/>
  <c r="I56" i="7"/>
  <c r="G56" i="7"/>
  <c r="C54" i="7"/>
  <c r="J53" i="7"/>
  <c r="I53" i="7"/>
  <c r="G53" i="7"/>
  <c r="J52" i="7"/>
  <c r="I52" i="7"/>
  <c r="G52" i="7"/>
  <c r="J51" i="7"/>
  <c r="I51" i="7"/>
  <c r="G51" i="7"/>
  <c r="J50" i="7"/>
  <c r="I50" i="7"/>
  <c r="G50" i="7"/>
  <c r="J49" i="7"/>
  <c r="I49" i="7"/>
  <c r="G49" i="7"/>
  <c r="C48" i="7"/>
  <c r="C21" i="1" s="1"/>
  <c r="J47" i="7"/>
  <c r="I47" i="7"/>
  <c r="G47" i="7"/>
  <c r="C46" i="7"/>
  <c r="C20" i="1" s="1"/>
  <c r="O20" i="1" s="1"/>
  <c r="P20" i="1" s="1"/>
  <c r="J45" i="7"/>
  <c r="I45" i="7"/>
  <c r="G45" i="7"/>
  <c r="J44" i="7"/>
  <c r="I44" i="7"/>
  <c r="G44" i="7"/>
  <c r="J42" i="7"/>
  <c r="I42" i="7"/>
  <c r="G42" i="7"/>
  <c r="J41" i="7"/>
  <c r="I41" i="7"/>
  <c r="G41" i="7"/>
  <c r="C19" i="1"/>
  <c r="C38" i="7"/>
  <c r="J39" i="7"/>
  <c r="I39" i="7"/>
  <c r="G39" i="7"/>
  <c r="J37" i="7"/>
  <c r="G37" i="7"/>
  <c r="J36" i="7"/>
  <c r="I36" i="7"/>
  <c r="G36" i="7"/>
  <c r="J35" i="7"/>
  <c r="I35" i="7"/>
  <c r="G35" i="7"/>
  <c r="J31" i="7"/>
  <c r="I31" i="7"/>
  <c r="G31" i="7"/>
  <c r="J30" i="7"/>
  <c r="I30" i="7"/>
  <c r="G30" i="7"/>
  <c r="J33" i="7"/>
  <c r="I33" i="7"/>
  <c r="G33" i="7"/>
  <c r="G32" i="7"/>
  <c r="J29" i="7"/>
  <c r="J28" i="7"/>
  <c r="I28" i="7"/>
  <c r="G28" i="7"/>
  <c r="J26" i="7"/>
  <c r="I26" i="7"/>
  <c r="G26" i="7"/>
  <c r="J21" i="7"/>
  <c r="I21" i="7"/>
  <c r="G21" i="7"/>
  <c r="J20" i="7"/>
  <c r="I20" i="7"/>
  <c r="C19" i="7"/>
  <c r="J23" i="7"/>
  <c r="I23" i="7"/>
  <c r="G23" i="7"/>
  <c r="I22" i="7"/>
  <c r="C22" i="7"/>
  <c r="C15" i="1" s="1"/>
  <c r="C13" i="1"/>
  <c r="J18" i="7"/>
  <c r="I18" i="7"/>
  <c r="G18" i="7"/>
  <c r="J14" i="7"/>
  <c r="I14" i="7"/>
  <c r="G14" i="7"/>
  <c r="J12" i="7"/>
  <c r="I12" i="7"/>
  <c r="G12" i="7"/>
  <c r="J11" i="7"/>
  <c r="I11" i="7"/>
  <c r="G11" i="7"/>
  <c r="I10" i="7"/>
  <c r="C8" i="7" l="1"/>
  <c r="D20" i="1"/>
  <c r="D17" i="1"/>
  <c r="J38" i="7"/>
  <c r="O15" i="1"/>
  <c r="P15" i="1" s="1"/>
  <c r="I16" i="1"/>
  <c r="F8" i="7"/>
  <c r="C16" i="5"/>
  <c r="D8" i="7"/>
  <c r="O19" i="1"/>
  <c r="P19" i="1" s="1"/>
  <c r="O23" i="1"/>
  <c r="P23" i="1" s="1"/>
  <c r="F16" i="1"/>
  <c r="E8" i="7"/>
  <c r="O21" i="1"/>
  <c r="P21" i="1" s="1"/>
  <c r="C16" i="1"/>
  <c r="I13" i="1"/>
  <c r="F17" i="1"/>
  <c r="K15" i="1"/>
  <c r="L15" i="1"/>
  <c r="K20" i="1"/>
  <c r="L20" i="1"/>
  <c r="K22" i="1"/>
  <c r="L22" i="1"/>
  <c r="K18" i="1"/>
  <c r="L18" i="1"/>
  <c r="K14" i="1"/>
  <c r="L14" i="1"/>
  <c r="K19" i="1"/>
  <c r="L19" i="1"/>
  <c r="K21" i="1"/>
  <c r="L21" i="1"/>
  <c r="K23" i="1"/>
  <c r="L23" i="1"/>
  <c r="L38" i="7"/>
  <c r="M38" i="7" s="1"/>
  <c r="C18" i="1"/>
  <c r="O18" i="1" s="1"/>
  <c r="P18" i="1" s="1"/>
  <c r="H54" i="7"/>
  <c r="C22" i="1"/>
  <c r="O22" i="1" s="1"/>
  <c r="P22" i="1" s="1"/>
  <c r="H19" i="7"/>
  <c r="C14" i="1"/>
  <c r="O14" i="1" s="1"/>
  <c r="P14" i="1" s="1"/>
  <c r="L34" i="7"/>
  <c r="M34" i="7" s="1"/>
  <c r="C17" i="1"/>
  <c r="J57" i="7"/>
  <c r="L25" i="7"/>
  <c r="M25" i="7" s="1"/>
  <c r="H9" i="7"/>
  <c r="L48" i="7"/>
  <c r="M48" i="7" s="1"/>
  <c r="G46" i="7"/>
  <c r="L46" i="7"/>
  <c r="M46" i="7" s="1"/>
  <c r="G57" i="7"/>
  <c r="L57" i="7"/>
  <c r="M57" i="7" s="1"/>
  <c r="H46" i="7"/>
  <c r="H48" i="7"/>
  <c r="J46" i="7"/>
  <c r="J48" i="7"/>
  <c r="I25" i="7"/>
  <c r="L40" i="7"/>
  <c r="M40" i="7" s="1"/>
  <c r="I54" i="7"/>
  <c r="L54" i="7"/>
  <c r="M54" i="7" s="1"/>
  <c r="I38" i="7"/>
  <c r="H40" i="7"/>
  <c r="H57" i="7"/>
  <c r="H38" i="7"/>
  <c r="J34" i="7"/>
  <c r="H34" i="7"/>
  <c r="H25" i="7"/>
  <c r="G22" i="7"/>
  <c r="J22" i="7"/>
  <c r="L22" i="7"/>
  <c r="M22" i="7" s="1"/>
  <c r="H22" i="7"/>
  <c r="J19" i="7"/>
  <c r="L19" i="7"/>
  <c r="M19" i="7" s="1"/>
  <c r="J9" i="7"/>
  <c r="L9" i="7"/>
  <c r="M9" i="7" s="1"/>
  <c r="J54" i="7"/>
  <c r="G54" i="7"/>
  <c r="J40" i="7"/>
  <c r="I40" i="7"/>
  <c r="I34" i="7"/>
  <c r="G25" i="7"/>
  <c r="G19" i="7"/>
  <c r="I48" i="7"/>
  <c r="G40" i="7"/>
  <c r="G38" i="7"/>
  <c r="G34" i="7"/>
  <c r="I19" i="7"/>
  <c r="I57" i="7"/>
  <c r="G48" i="7"/>
  <c r="I46" i="7"/>
  <c r="J25" i="7"/>
  <c r="I9" i="7"/>
  <c r="G10" i="7"/>
  <c r="J10" i="7"/>
  <c r="G9" i="7"/>
  <c r="D20" i="6"/>
  <c r="D19" i="6" s="1"/>
  <c r="E20" i="6"/>
  <c r="F9" i="1"/>
  <c r="H9" i="1" s="1"/>
  <c r="F66" i="6"/>
  <c r="F65" i="6"/>
  <c r="F63" i="6"/>
  <c r="F62" i="6"/>
  <c r="F54" i="6"/>
  <c r="F52" i="6"/>
  <c r="F47" i="6"/>
  <c r="F41" i="6"/>
  <c r="F38" i="6"/>
  <c r="F37" i="6"/>
  <c r="F35" i="6"/>
  <c r="F30" i="6"/>
  <c r="F29" i="6"/>
  <c r="F25" i="6"/>
  <c r="F24" i="6"/>
  <c r="F22" i="6"/>
  <c r="F21" i="6"/>
  <c r="F16" i="6"/>
  <c r="F15" i="6"/>
  <c r="F12" i="6"/>
  <c r="H66" i="6"/>
  <c r="G66" i="6"/>
  <c r="H65" i="6"/>
  <c r="G65" i="6"/>
  <c r="H63" i="6"/>
  <c r="G63" i="6"/>
  <c r="H62" i="6"/>
  <c r="G62" i="6"/>
  <c r="H54" i="6"/>
  <c r="G54" i="6"/>
  <c r="H52" i="6"/>
  <c r="G52" i="6"/>
  <c r="H47" i="6"/>
  <c r="G47" i="6"/>
  <c r="H41" i="6"/>
  <c r="G41" i="6"/>
  <c r="H38" i="6"/>
  <c r="G38" i="6"/>
  <c r="H30" i="6"/>
  <c r="G30" i="6"/>
  <c r="H29" i="6"/>
  <c r="G29" i="6"/>
  <c r="H25" i="6"/>
  <c r="G25" i="6"/>
  <c r="H24" i="6"/>
  <c r="G24" i="6"/>
  <c r="H22" i="6"/>
  <c r="G22" i="6"/>
  <c r="H21" i="6"/>
  <c r="G21" i="6"/>
  <c r="H16" i="6"/>
  <c r="G16" i="6"/>
  <c r="H15" i="6"/>
  <c r="G15" i="6"/>
  <c r="H12" i="6"/>
  <c r="E50" i="6"/>
  <c r="E33" i="6"/>
  <c r="D50" i="6"/>
  <c r="F36" i="6"/>
  <c r="D33" i="6"/>
  <c r="C19" i="6"/>
  <c r="C10" i="6" s="1"/>
  <c r="D12" i="1"/>
  <c r="C24" i="1" l="1"/>
  <c r="O16" i="1"/>
  <c r="P16" i="1" s="1"/>
  <c r="I11" i="1"/>
  <c r="O11" i="1" s="1"/>
  <c r="D14" i="1"/>
  <c r="D24" i="1" s="1"/>
  <c r="C26" i="5"/>
  <c r="C30" i="5" s="1"/>
  <c r="F33" i="6"/>
  <c r="K16" i="1"/>
  <c r="I24" i="1"/>
  <c r="N17" i="1" s="1"/>
  <c r="L8" i="7"/>
  <c r="M8" i="7" s="1"/>
  <c r="F10" i="1"/>
  <c r="F8" i="1" s="1"/>
  <c r="F24" i="1"/>
  <c r="L16" i="1"/>
  <c r="K17" i="1"/>
  <c r="K13" i="1"/>
  <c r="O13" i="1"/>
  <c r="P13" i="1" s="1"/>
  <c r="L13" i="1"/>
  <c r="L17" i="1"/>
  <c r="K50" i="6"/>
  <c r="L50" i="6" s="1"/>
  <c r="K33" i="6"/>
  <c r="L33" i="6" s="1"/>
  <c r="J15" i="6"/>
  <c r="J12" i="6"/>
  <c r="K11" i="6"/>
  <c r="L11" i="6" s="1"/>
  <c r="O17" i="1"/>
  <c r="P17" i="1" s="1"/>
  <c r="C10" i="1"/>
  <c r="C8" i="1" s="1"/>
  <c r="I9" i="1"/>
  <c r="H8" i="7"/>
  <c r="D10" i="6"/>
  <c r="F11" i="1"/>
  <c r="H33" i="6"/>
  <c r="H11" i="6"/>
  <c r="H61" i="6"/>
  <c r="F61" i="6"/>
  <c r="F50" i="6"/>
  <c r="I8" i="7"/>
  <c r="G8" i="7"/>
  <c r="J8" i="7"/>
  <c r="F20" i="6"/>
  <c r="H20" i="6"/>
  <c r="E19" i="6"/>
  <c r="G20" i="6"/>
  <c r="G11" i="6"/>
  <c r="F11" i="6"/>
  <c r="G33" i="6"/>
  <c r="G61" i="6"/>
  <c r="G50" i="6"/>
  <c r="H50" i="6"/>
  <c r="G36" i="6"/>
  <c r="H36" i="6"/>
  <c r="M23" i="1"/>
  <c r="M22" i="1"/>
  <c r="M21" i="1"/>
  <c r="M20" i="1"/>
  <c r="M19" i="1"/>
  <c r="M18" i="1"/>
  <c r="M17" i="1"/>
  <c r="M16" i="1"/>
  <c r="M15" i="1"/>
  <c r="M14" i="1"/>
  <c r="M13" i="1"/>
  <c r="D9" i="6" l="1"/>
  <c r="F12" i="1"/>
  <c r="F25" i="1" s="1"/>
  <c r="I10" i="1"/>
  <c r="Q10" i="1" s="1"/>
  <c r="E10" i="6"/>
  <c r="H10" i="6" s="1"/>
  <c r="Q9" i="1"/>
  <c r="K24" i="1"/>
  <c r="O24" i="1"/>
  <c r="P24" i="1" s="1"/>
  <c r="F32" i="6"/>
  <c r="M9" i="1"/>
  <c r="K19" i="6"/>
  <c r="L19" i="6" s="1"/>
  <c r="C11" i="1"/>
  <c r="C12" i="1" s="1"/>
  <c r="K32" i="6"/>
  <c r="L32" i="6" s="1"/>
  <c r="K9" i="1"/>
  <c r="L9" i="1"/>
  <c r="K11" i="1"/>
  <c r="L11" i="1"/>
  <c r="G32" i="6"/>
  <c r="F19" i="6"/>
  <c r="G19" i="6"/>
  <c r="H19" i="6"/>
  <c r="H32" i="6"/>
  <c r="J23" i="1"/>
  <c r="J22" i="1"/>
  <c r="J21" i="1"/>
  <c r="J20" i="1"/>
  <c r="J19" i="1"/>
  <c r="J18" i="1"/>
  <c r="J17" i="1"/>
  <c r="J16" i="1"/>
  <c r="J15" i="1"/>
  <c r="J14" i="1"/>
  <c r="J13" i="1"/>
  <c r="J11" i="1"/>
  <c r="J9" i="1"/>
  <c r="R26" i="5"/>
  <c r="F26" i="5"/>
  <c r="C28" i="5"/>
  <c r="E25" i="5"/>
  <c r="G25" i="5" s="1"/>
  <c r="I25" i="5" s="1"/>
  <c r="K25" i="5" s="1"/>
  <c r="E24" i="5"/>
  <c r="G24" i="5" s="1"/>
  <c r="I24" i="5" s="1"/>
  <c r="K24" i="5" s="1"/>
  <c r="E23" i="5"/>
  <c r="G23" i="5" s="1"/>
  <c r="I23" i="5" s="1"/>
  <c r="K23" i="5" s="1"/>
  <c r="G22" i="5"/>
  <c r="I22" i="5" s="1"/>
  <c r="K22" i="5" s="1"/>
  <c r="E21" i="5"/>
  <c r="G21" i="5" s="1"/>
  <c r="I21" i="5" s="1"/>
  <c r="K21" i="5" s="1"/>
  <c r="E20" i="5"/>
  <c r="G20" i="5" s="1"/>
  <c r="I20" i="5" s="1"/>
  <c r="K20" i="5" s="1"/>
  <c r="E19" i="5"/>
  <c r="E18" i="5"/>
  <c r="G18" i="5" s="1"/>
  <c r="I18" i="5" s="1"/>
  <c r="K18" i="5" s="1"/>
  <c r="E17" i="5"/>
  <c r="G17" i="5" s="1"/>
  <c r="I17" i="5" s="1"/>
  <c r="K17" i="5" s="1"/>
  <c r="E16" i="5"/>
  <c r="K10" i="1" l="1"/>
  <c r="G16" i="5"/>
  <c r="I16" i="5" s="1"/>
  <c r="K16" i="5" s="1"/>
  <c r="M16" i="5" s="1"/>
  <c r="O16" i="5" s="1"/>
  <c r="E26" i="5"/>
  <c r="J10" i="1"/>
  <c r="L10" i="1"/>
  <c r="M10" i="1"/>
  <c r="I8" i="1"/>
  <c r="Q8" i="1" s="1"/>
  <c r="G19" i="5"/>
  <c r="G10" i="6"/>
  <c r="F10" i="6"/>
  <c r="M22" i="5"/>
  <c r="O22" i="5" s="1"/>
  <c r="M18" i="5"/>
  <c r="M20" i="5"/>
  <c r="O20" i="5" s="1"/>
  <c r="M24" i="5"/>
  <c r="O24" i="5" s="1"/>
  <c r="M17" i="5"/>
  <c r="O17" i="5" s="1"/>
  <c r="M21" i="5"/>
  <c r="O21" i="5" s="1"/>
  <c r="M23" i="5"/>
  <c r="O23" i="5" s="1"/>
  <c r="M25" i="5"/>
  <c r="O25" i="5" s="1"/>
  <c r="L10" i="6"/>
  <c r="G15" i="5"/>
  <c r="E9" i="6"/>
  <c r="M11" i="1"/>
  <c r="J24" i="1"/>
  <c r="E13" i="5"/>
  <c r="N22" i="1"/>
  <c r="N19" i="1"/>
  <c r="N15" i="1"/>
  <c r="N20" i="1"/>
  <c r="N16" i="1"/>
  <c r="N23" i="1"/>
  <c r="N21" i="1"/>
  <c r="N18" i="1"/>
  <c r="N14" i="1"/>
  <c r="L24" i="1"/>
  <c r="M24" i="1"/>
  <c r="C25" i="1"/>
  <c r="G26" i="5" l="1"/>
  <c r="Q25" i="5"/>
  <c r="S25" i="5" s="1"/>
  <c r="E23" i="1" s="1"/>
  <c r="Q21" i="5"/>
  <c r="S21" i="5" s="1"/>
  <c r="E19" i="1" s="1"/>
  <c r="Q24" i="5"/>
  <c r="S24" i="5" s="1"/>
  <c r="E22" i="1" s="1"/>
  <c r="Q16" i="5"/>
  <c r="S16" i="5" s="1"/>
  <c r="E14" i="1" s="1"/>
  <c r="Q23" i="5"/>
  <c r="S23" i="5" s="1"/>
  <c r="E21" i="1" s="1"/>
  <c r="Q17" i="5"/>
  <c r="S17" i="5" s="1"/>
  <c r="E15" i="1" s="1"/>
  <c r="Q20" i="5"/>
  <c r="S20" i="5" s="1"/>
  <c r="E18" i="1" s="1"/>
  <c r="Q22" i="5"/>
  <c r="S22" i="5" s="1"/>
  <c r="E20" i="1" s="1"/>
  <c r="O18" i="5"/>
  <c r="I12" i="1"/>
  <c r="L12" i="1" s="1"/>
  <c r="O8" i="1"/>
  <c r="L8" i="1"/>
  <c r="M8" i="1"/>
  <c r="J8" i="1"/>
  <c r="J12" i="1" s="1"/>
  <c r="K8" i="1"/>
  <c r="K12" i="1" s="1"/>
  <c r="I19" i="5"/>
  <c r="J32" i="6"/>
  <c r="E72" i="6"/>
  <c r="K10" i="6"/>
  <c r="K9" i="6"/>
  <c r="I15" i="5"/>
  <c r="F9" i="6"/>
  <c r="J11" i="6"/>
  <c r="G9" i="6"/>
  <c r="J19" i="6"/>
  <c r="H9" i="6"/>
  <c r="L12" i="6"/>
  <c r="E28" i="5"/>
  <c r="E29" i="5" s="1"/>
  <c r="I26" i="5" l="1"/>
  <c r="H20" i="1"/>
  <c r="G20" i="1"/>
  <c r="G15" i="1"/>
  <c r="H15" i="1"/>
  <c r="H14" i="1"/>
  <c r="G14" i="1"/>
  <c r="H19" i="1"/>
  <c r="G19" i="1"/>
  <c r="H18" i="1"/>
  <c r="G18" i="1"/>
  <c r="G21" i="1"/>
  <c r="H21" i="1"/>
  <c r="G22" i="1"/>
  <c r="H22" i="1"/>
  <c r="H23" i="1"/>
  <c r="G23" i="1"/>
  <c r="Q18" i="5"/>
  <c r="S18" i="5" s="1"/>
  <c r="E16" i="1" s="1"/>
  <c r="N8" i="1"/>
  <c r="N11" i="1"/>
  <c r="I25" i="1"/>
  <c r="M12" i="1"/>
  <c r="K19" i="5"/>
  <c r="K15" i="5"/>
  <c r="H16" i="1" l="1"/>
  <c r="G16" i="1"/>
  <c r="K26" i="5"/>
  <c r="M19" i="5"/>
  <c r="O19" i="5" s="1"/>
  <c r="Q19" i="5" s="1"/>
  <c r="M15" i="5"/>
  <c r="O15" i="5" s="1"/>
  <c r="Q15" i="5" s="1"/>
  <c r="D25" i="1"/>
  <c r="Q26" i="5" l="1"/>
  <c r="Q28" i="5" s="1"/>
  <c r="Q29" i="5" s="1"/>
  <c r="O26" i="5"/>
  <c r="O28" i="5" s="1"/>
  <c r="O29" i="5" s="1"/>
  <c r="M26" i="5"/>
  <c r="M28" i="5" s="1"/>
  <c r="M29" i="5" s="1"/>
  <c r="G9" i="1"/>
  <c r="S15" i="5" l="1"/>
  <c r="S19" i="5"/>
  <c r="F13" i="5"/>
  <c r="E13" i="1" l="1"/>
  <c r="H13" i="1" s="1"/>
  <c r="S26" i="5"/>
  <c r="E17" i="1"/>
  <c r="I13" i="5"/>
  <c r="I28" i="5" s="1"/>
  <c r="I29" i="5" s="1"/>
  <c r="G13" i="5"/>
  <c r="G28" i="5" s="1"/>
  <c r="G29" i="5" s="1"/>
  <c r="E24" i="1" l="1"/>
  <c r="G13" i="1"/>
  <c r="H17" i="1"/>
  <c r="G17" i="1"/>
  <c r="G24" i="1" s="1"/>
  <c r="K13" i="5"/>
  <c r="K28" i="5" s="1"/>
  <c r="K29" i="5" s="1"/>
  <c r="H24" i="1" l="1"/>
  <c r="S13" i="5"/>
  <c r="S28" i="5" s="1"/>
  <c r="S29" i="5" s="1"/>
  <c r="G11" i="1" l="1"/>
  <c r="H11" i="1"/>
  <c r="G10" i="1"/>
  <c r="E12" i="1"/>
  <c r="H12" i="1" l="1"/>
  <c r="E25" i="1"/>
  <c r="G8" i="1"/>
  <c r="G12" i="1" s="1"/>
  <c r="H8" i="1"/>
</calcChain>
</file>

<file path=xl/sharedStrings.xml><?xml version="1.0" encoding="utf-8"?>
<sst xmlns="http://schemas.openxmlformats.org/spreadsheetml/2006/main" count="403" uniqueCount="295">
  <si>
    <t>Внесение изменений</t>
  </si>
  <si>
    <t xml:space="preserve">Номер и дата решения сессии Совета депутатов Каргатского района </t>
  </si>
  <si>
    <t>Наименование видов доходов, статей расходов</t>
  </si>
  <si>
    <t>(тыс. рублей)</t>
  </si>
  <si>
    <t>ДОХОДЫ</t>
  </si>
  <si>
    <t>№ раздела</t>
  </si>
  <si>
    <t>Итого доходов</t>
  </si>
  <si>
    <t>РАСХОДЫ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</si>
  <si>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</si>
  <si>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</si>
  <si>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</si>
  <si>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</si>
  <si>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</si>
  <si>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</si>
  <si>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</si>
  <si>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</si>
  <si>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</si>
  <si>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</si>
  <si>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14</t>
  </si>
  <si>
    <t>Итого расходов</t>
  </si>
  <si>
    <t>Дефицит</t>
  </si>
  <si>
    <t>Утверж-дённые назначения</t>
  </si>
  <si>
    <t>Сумма изм.</t>
  </si>
  <si>
    <t>Итоговое значение</t>
  </si>
  <si>
    <t>Общегосударственные расходы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</si>
  <si>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</si>
  <si>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</si>
  <si>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</si>
  <si>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</si>
  <si>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</si>
  <si>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</si>
  <si>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Культура, кинематография</t>
  </si>
  <si>
    <t>Физическая культура и спорт</t>
  </si>
  <si>
    <t>Межбюджетные трансферты</t>
  </si>
  <si>
    <t>Безвозмездные поступления</t>
  </si>
  <si>
    <t>Отклонение (гр.5 - гр.4)</t>
  </si>
  <si>
    <t>Отклонение (гр.6 - гр.5)</t>
  </si>
  <si>
    <t>Утверж-дённые бюджетные назначения в отчёте ф. 0503117</t>
  </si>
  <si>
    <t>Доходы - всего, в том числе:</t>
  </si>
  <si>
    <t xml:space="preserve">                    налоговые доходы</t>
  </si>
  <si>
    <t xml:space="preserve">                    неналоговые доходы</t>
  </si>
  <si>
    <t>налоговые и неналоговые доходы, в том числе:</t>
  </si>
  <si>
    <t xml:space="preserve">   налоговые доходы, в том числе:</t>
  </si>
  <si>
    <t xml:space="preserve">   НДФЛ</t>
  </si>
  <si>
    <t xml:space="preserve">   государственная пошлина</t>
  </si>
  <si>
    <t>Наименование видов доходов</t>
  </si>
  <si>
    <t xml:space="preserve">  платежи при пользовании природными ресурсами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</si>
  <si>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</si>
  <si>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</si>
  <si>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</si>
  <si>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 неналоговые доходы, в том числе:</t>
  </si>
  <si>
    <t>безвозмездные поступления, в том числе:</t>
  </si>
  <si>
    <t xml:space="preserve">   дотации, в том числе:</t>
  </si>
  <si>
    <t xml:space="preserve">   дотации бюджетам МР на поддержку мер по обеспечению сбалансированности бюджетов</t>
  </si>
  <si>
    <t xml:space="preserve">   субсидии, в том числе:</t>
  </si>
  <si>
    <t xml:space="preserve">   субсидии бюджетам МР на обеспечение жильем молодых семей</t>
  </si>
  <si>
    <t xml:space="preserve">   субсидии бюджетам МР на государственную модернизацию систем общего образования</t>
  </si>
  <si>
    <t xml:space="preserve">   субвенции, в том числе:</t>
  </si>
  <si>
    <t xml:space="preserve">   субвенции бюджетам МР на ежемесячное денежное вознаграждение за классное руководство</t>
  </si>
  <si>
    <t xml:space="preserve">   субвенции  бюджетам МР на содержание ребенка в семье опекуна и приемной семье, а также вознаграждение, причитающееся приемному родителю</t>
  </si>
  <si>
    <t xml:space="preserve">   прочие субвенции бюджетам МР</t>
  </si>
  <si>
    <t xml:space="preserve">   иные межбюджетные трансферты, в том числе:</t>
  </si>
  <si>
    <t xml:space="preserve">   иные межбюджетные трансферты на предоставление субсидий на реализацию мероприятий в рамках программы модернизации здравоохранения в НСО 2011-2012 гг.</t>
  </si>
  <si>
    <t>Расходы - всего, в том числе:</t>
  </si>
  <si>
    <t>№ раздела/подраздела</t>
  </si>
  <si>
    <t>0102</t>
  </si>
  <si>
    <t>0100</t>
  </si>
  <si>
    <t>0103</t>
  </si>
  <si>
    <t>0104</t>
  </si>
  <si>
    <t>0106</t>
  </si>
  <si>
    <t>0113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</si>
  <si>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</si>
  <si>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</si>
  <si>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</si>
  <si>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</si>
  <si>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</si>
  <si>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0200</t>
  </si>
  <si>
    <t>0203</t>
  </si>
  <si>
    <t>0204</t>
  </si>
  <si>
    <t>Национальная оборона, в том числе:</t>
  </si>
  <si>
    <t>Мобилизационная и вневойсковая подготовка</t>
  </si>
  <si>
    <t>Мобилизационная подготовка экономики</t>
  </si>
  <si>
    <t>0300</t>
  </si>
  <si>
    <t>Национальная безопасность и правоохранительная деятельность, в том числе:</t>
  </si>
  <si>
    <t>Общегосударственные вопросы, в том числе: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</si>
  <si>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</si>
  <si>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</si>
  <si>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0400</t>
  </si>
  <si>
    <t>Национальная экономика, в том числе:</t>
  </si>
  <si>
    <t>0401</t>
  </si>
  <si>
    <t>0402</t>
  </si>
  <si>
    <t>0405</t>
  </si>
  <si>
    <t>0406</t>
  </si>
  <si>
    <t>0410</t>
  </si>
  <si>
    <t>0412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</si>
  <si>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</si>
  <si>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</si>
  <si>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</si>
  <si>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</si>
  <si>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</si>
  <si>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</si>
  <si>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</si>
  <si>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</si>
  <si>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</si>
  <si>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</si>
  <si>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0500</t>
  </si>
  <si>
    <t>0501</t>
  </si>
  <si>
    <t>0502</t>
  </si>
  <si>
    <t>0503</t>
  </si>
  <si>
    <t>Жилищное хозяйство</t>
  </si>
  <si>
    <t>Коммунальное хозяйство</t>
  </si>
  <si>
    <t>Жилищно-коммунальное хозяйство, в том числе:</t>
  </si>
  <si>
    <t>Благоустройство</t>
  </si>
  <si>
    <t>0600</t>
  </si>
  <si>
    <t>Охрана окружающей среды, в том числе:</t>
  </si>
  <si>
    <t>0603</t>
  </si>
  <si>
    <t>Охрана объектов растительного и животного мира и среды их обитания</t>
  </si>
  <si>
    <t>0700</t>
  </si>
  <si>
    <t>Образование, в том числе: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</si>
  <si>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</si>
  <si>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</si>
  <si>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</si>
  <si>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</si>
  <si>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</si>
  <si>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</si>
  <si>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</si>
  <si>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</si>
  <si>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</si>
  <si>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0801</t>
  </si>
  <si>
    <t>Культура, кинематография, в том числе:</t>
  </si>
  <si>
    <t>Культура</t>
  </si>
  <si>
    <t>Социальная политика, в том числе:</t>
  </si>
  <si>
    <t>1000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</si>
  <si>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</si>
  <si>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</si>
  <si>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</si>
  <si>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</si>
  <si>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</si>
  <si>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</si>
  <si>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</si>
  <si>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Охрана семьи и детства</t>
  </si>
  <si>
    <t>Социальное обеспечение населения</t>
  </si>
  <si>
    <t>Другие вопросы в области социальной политики</t>
  </si>
  <si>
    <t>1100</t>
  </si>
  <si>
    <t>1101</t>
  </si>
  <si>
    <t>1102</t>
  </si>
  <si>
    <t>Физическая культура и спорт, в том числе:</t>
  </si>
  <si>
    <t>Физическая культура</t>
  </si>
  <si>
    <t>Массовый спорт</t>
  </si>
  <si>
    <t>1400</t>
  </si>
  <si>
    <t>1401</t>
  </si>
  <si>
    <t>1403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</si>
  <si>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</si>
  <si>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бюджетам субъектов Российской Федерации и муниципальных образований общего характера, в том числе:</t>
  </si>
  <si>
    <t>Прочие межбюджетные трансферты общего характера</t>
  </si>
  <si>
    <t>0105</t>
  </si>
  <si>
    <t>Судебная система</t>
  </si>
  <si>
    <t>0111</t>
  </si>
  <si>
    <t>Резервные фонды</t>
  </si>
  <si>
    <t>Отклонение (гр.6 - гр.3)</t>
  </si>
  <si>
    <t>Отклонение (гр.9 - гр.4)</t>
  </si>
  <si>
    <t>Отклонение (гр.9 - гр.6)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</si>
  <si>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</si>
  <si>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Отклонение (гр.4 - гр.3)</t>
  </si>
  <si>
    <t xml:space="preserve">   субсидии бюджетам МР на реализацию федеральных целевых программ</t>
  </si>
  <si>
    <t xml:space="preserve">   субсидии бюджетам на модернизацию региональных систем общего образования</t>
  </si>
  <si>
    <t>КОСГУ</t>
  </si>
  <si>
    <t>211</t>
  </si>
  <si>
    <t>212</t>
  </si>
  <si>
    <t>213</t>
  </si>
  <si>
    <t>221</t>
  </si>
  <si>
    <t>222</t>
  </si>
  <si>
    <t>223</t>
  </si>
  <si>
    <t>224</t>
  </si>
  <si>
    <t>225</t>
  </si>
  <si>
    <t>226</t>
  </si>
  <si>
    <t>241</t>
  </si>
  <si>
    <t>242</t>
  </si>
  <si>
    <t>251</t>
  </si>
  <si>
    <t>262</t>
  </si>
  <si>
    <t>263</t>
  </si>
  <si>
    <t>290</t>
  </si>
  <si>
    <t>310</t>
  </si>
  <si>
    <t>340</t>
  </si>
  <si>
    <t>(тыс. руб.)</t>
  </si>
  <si>
    <t>Налоговые и неналоговые доходы, в том числе:</t>
  </si>
  <si>
    <t>Национальная безопасность и правоохранительная деятельность</t>
  </si>
  <si>
    <t>Налоговые и неналоговые доходы</t>
  </si>
  <si>
    <t xml:space="preserve">   субсидии бюджетам МР на осуществление мероприятий по обеспечению жильём граждан РФ, проживающих в сельской местности</t>
  </si>
  <si>
    <t>0107</t>
  </si>
  <si>
    <t>Обеспечение проведения выборов и референдумов</t>
  </si>
  <si>
    <t xml:space="preserve">   акцизы по подакцизным товарам</t>
  </si>
  <si>
    <t>Обеспечение пожарной безопасности</t>
  </si>
  <si>
    <t>0310</t>
  </si>
  <si>
    <t>Отклонение (гр.4 - гр.2)</t>
  </si>
  <si>
    <t>Исполнение бюджета за 2015 год</t>
  </si>
  <si>
    <t>530</t>
  </si>
  <si>
    <t xml:space="preserve">   единый налог на вменённый доход</t>
  </si>
  <si>
    <t xml:space="preserve">   единый сельскохозяйственный налог</t>
  </si>
  <si>
    <t xml:space="preserve">   налог (патентная система налогообложения)</t>
  </si>
  <si>
    <t xml:space="preserve">   налоги на совокупный доход:</t>
  </si>
  <si>
    <t xml:space="preserve">   доходы от использования имущества, находящегося в муниципальной собственности:</t>
  </si>
  <si>
    <t xml:space="preserve">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</si>
  <si>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(работ) и компенсации затрат:</t>
  </si>
  <si>
    <t xml:space="preserve">  доходы от оказания платных услуг (работ)</t>
  </si>
  <si>
    <t>Утверж-дённые назначения решением   № 26 от 24.12.2015</t>
  </si>
  <si>
    <t>№ 26 от 24.12.2015</t>
  </si>
  <si>
    <t>№ 38 от 24.03.2016</t>
  </si>
  <si>
    <t>Исполнение бюджета за 2016 год</t>
  </si>
  <si>
    <t>Уточ-нённые назначения на 2016 год</t>
  </si>
  <si>
    <t>Процент исполнения к плану 2016 года (гр.4/гр.3)</t>
  </si>
  <si>
    <t>Факт 2016 года к факту 2015 года (гр.4/гр.2)</t>
  </si>
  <si>
    <t>№ 56 от 20.04.2016</t>
  </si>
  <si>
    <t>№ 64 от 16.06.2016</t>
  </si>
  <si>
    <t>№ 74 от 01.07.2016</t>
  </si>
  <si>
    <t>Анализ исполнения бюджета Каргатского района за 2016 год</t>
  </si>
  <si>
    <t>Процент исполнения к плану 2016 года (гр.9 / гр.6)</t>
  </si>
  <si>
    <t>Факт 2016 года к факту 2015 года (Гр.9 / гр.3)</t>
  </si>
  <si>
    <t>Анализ исполнения бюджета Каргатского района за 2016 год по расходам</t>
  </si>
  <si>
    <t>Анализ исполнения бюджета Каргатского района за 2016 год по доходам</t>
  </si>
  <si>
    <t>Процент исполнения к плану 2016 года (гр.6 / гр.5)</t>
  </si>
  <si>
    <t>Факт 2016 года к факту 2015 года (Гр.6 / гр.3)</t>
  </si>
  <si>
    <t>Анализ исполнения бюджета Каргатского района за 2016 год по расходам в разрезе КОСГУ</t>
  </si>
  <si>
    <t>Уточнённые назначения на 2016 год</t>
  </si>
  <si>
    <t>Дефицит (-), профицит (+)</t>
  </si>
  <si>
    <t>Анализ изменений, внесённых в решение 4 сессии Совета депутатов Каргатского района от 24.12.2015 № 26 "О бюджете муниципального образования Каргатского района на 2016 год и плановый период 2017 и 2018 годов"</t>
  </si>
  <si>
    <t>№ 79 от 23.09.2016</t>
  </si>
  <si>
    <t>№ 85  от 02.11.2016</t>
  </si>
  <si>
    <t>№ 95 от 23.12.2016</t>
  </si>
  <si>
    <t>Резервный фонд - 2400,0 т.р.</t>
  </si>
  <si>
    <t>Уточ-нённые назначения решением   № 95 от 23.12.2016</t>
  </si>
  <si>
    <t xml:space="preserve">  доходы от возмещения расходов, понесённых при эксплуатации муниципального имущества</t>
  </si>
  <si>
    <t xml:space="preserve">  доходы от компенсации затрат бюджета</t>
  </si>
  <si>
    <t xml:space="preserve">   дотации на выравнивание бюджетной обеспеченности </t>
  </si>
  <si>
    <t xml:space="preserve">   субсидии на господдержку малого и среднего предпринимательства, включая крестьянские (фермерские) хозяйства</t>
  </si>
  <si>
    <t xml:space="preserve">   субсидии на осуществление дорожной деятельности в отношении автомобильных дорог общего пользования</t>
  </si>
  <si>
    <t xml:space="preserve">   субсидии на софинансирование капвложений в объекты муниципальной собственности</t>
  </si>
  <si>
    <t xml:space="preserve">   субсидии на обспечение мероприятий по модернизации систем коммунальной инфраструктуры</t>
  </si>
  <si>
    <t xml:space="preserve">   прочие субсидии</t>
  </si>
  <si>
    <t xml:space="preserve">   субвенции на составление (изменение) списков кандидатов в присяжные заседатели федеральных судов общей юрисдикции в РФ</t>
  </si>
  <si>
    <t xml:space="preserve">   субвенции на осуществление первичного воинского учета на территориях, где отсутствуют воинские комиссариаты</t>
  </si>
  <si>
    <t xml:space="preserve">   субвенции на выполнение передаваемых полномочий субъектов РФ</t>
  </si>
  <si>
    <t xml:space="preserve">   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</si>
  <si>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субвенции на обеспечение жильем отдельных категорий граждан, установленных ФЗ от 12.01.1995 № 5-ФЗ «О ветеранах», в соответствии с Указом Президента РФ от 07.05.2008 № 714 «Об обеспечении жильем ветеранов ВОВ 1941-1945 годов»</t>
  </si>
  <si>
    <t xml:space="preserve">   субвенции на обеспечение жильем отдельных категорий граждан, установленных ФЗ от 12.01.1995 № 5-ФЗ «О ветеранах» и от 24.11.95 № 181-ФЗ «О социальной защите инвалидов в РФ"</t>
  </si>
  <si>
    <t xml:space="preserve">   межбюджетные трансферты,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</si>
  <si>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</si>
  <si>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межбюджетные трансферты, передаваемые на комплектование книжных фондов библиотек муниципальных образований</t>
  </si>
  <si>
    <t xml:space="preserve">   доходы от возврата межбюджетных трансфертов прошлых лет из бюджетов поселений</t>
  </si>
  <si>
    <t xml:space="preserve">   субсидии на создание в общеобразовательных организациях, расположенных в сельской местности, условий для занятий спортом</t>
  </si>
  <si>
    <t xml:space="preserve">   субвенции на проведение Всероссийской сельскохозяйственной переписи в 2016 году</t>
  </si>
  <si>
    <t xml:space="preserve">   прочие межбюджетные трансферты</t>
  </si>
  <si>
    <t xml:space="preserve">   прочие безвозмездные поступления</t>
  </si>
  <si>
    <t xml:space="preserve">   возврат остатков субсидий, субвенций и иных межбюджетных трансфертов, имеющих целевое назначение, прошлых лет</t>
  </si>
  <si>
    <t>330</t>
  </si>
  <si>
    <t>Отклонение (гр.3 - гр.2)</t>
  </si>
  <si>
    <t xml:space="preserve">   прочие поступления (плата за найм)</t>
  </si>
  <si>
    <t xml:space="preserve">   прочие безвозмездные поступления от негосударственных организаций</t>
  </si>
  <si>
    <t>Алабугинский</t>
  </si>
  <si>
    <t>Беркутовский</t>
  </si>
  <si>
    <t>В-Каргатский</t>
  </si>
  <si>
    <t>Карганский</t>
  </si>
  <si>
    <t>Кубанский</t>
  </si>
  <si>
    <t>Маршанский</t>
  </si>
  <si>
    <t>Мусинский</t>
  </si>
  <si>
    <t>Первомайский</t>
  </si>
  <si>
    <t>Суминский</t>
  </si>
  <si>
    <t>Ф-Каргатский</t>
  </si>
  <si>
    <t>город Каргат</t>
  </si>
  <si>
    <t>план</t>
  </si>
  <si>
    <t>факт</t>
  </si>
  <si>
    <t>ИТОГО:</t>
  </si>
  <si>
    <t>разница</t>
  </si>
  <si>
    <t>МО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</si>
  <si>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</si>
  <si>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</si>
  <si>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</si>
  <si>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</si>
  <si>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</si>
  <si>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оплата труда</t>
  </si>
  <si>
    <t>закупка товаров, услуг</t>
  </si>
  <si>
    <t>Управление государственными финансами</t>
  </si>
  <si>
    <t>Обеспечение безопасности жизнедеятельности</t>
  </si>
  <si>
    <t xml:space="preserve">Развитие системы социальной поддержки населения и улучшение социального положения семей с детьми </t>
  </si>
  <si>
    <t xml:space="preserve">Развитие автомобильных дорог регионального, межмуниципального и местного значения </t>
  </si>
  <si>
    <t>Развитие инфраструктуры информационного общества</t>
  </si>
  <si>
    <t>Развитие субъектов малого и среднего предпринимательства</t>
  </si>
  <si>
    <t xml:space="preserve">Развитие образования, создание условий для социализации детей и учащейся молодежи </t>
  </si>
  <si>
    <t>Развитие физической культуры и спорта</t>
  </si>
  <si>
    <t>Обеспечение жильем молодых семей</t>
  </si>
  <si>
    <t>Форма 0503168</t>
  </si>
  <si>
    <t>Форма 0503117</t>
  </si>
  <si>
    <t>Госпрограммы НСО</t>
  </si>
  <si>
    <t>№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</si>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</sst>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b/>
      <sz val="11.5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0"/>
      <color rgb="FF00B05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i/>
      <sz val="10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/>
    <xf numFmtId="0" fontId="13" fillId="0" borderId="1" xfId="0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166" fontId="13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166" fontId="15" fillId="0" borderId="1" xfId="1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/>
    <xf numFmtId="0" fontId="5" fillId="0" borderId="1" xfId="0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Alignment="1">
      <alignment vertical="center" wrapText="1"/>
    </xf>
    <xf numFmtId="166" fontId="2" fillId="0" borderId="0" xfId="1" applyNumberFormat="1" applyFont="1" applyAlignment="1">
      <alignment vertical="center" wrapText="1"/>
    </xf>
    <xf numFmtId="166" fontId="10" fillId="0" borderId="0" xfId="1" applyNumberFormat="1" applyFont="1" applyAlignment="1">
      <alignment vertical="center" wrapText="1"/>
    </xf>
    <xf numFmtId="2" fontId="10" fillId="0" borderId="0" xfId="2" applyNumberFormat="1" applyFont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3" fillId="0" borderId="0" xfId="0" applyNumberFormat="1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6" fontId="5" fillId="0" borderId="0" xfId="1" applyNumberFormat="1" applyFont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 indent="1"/>
    </xf>
    <xf numFmtId="165" fontId="5" fillId="0" borderId="1" xfId="0" applyNumberFormat="1" applyFont="1" applyBorder="1" applyAlignment="1">
      <alignment horizontal="right" vertical="center" indent="1"/>
    </xf>
    <xf numFmtId="166" fontId="2" fillId="0" borderId="1" xfId="1" applyNumberFormat="1" applyFont="1" applyBorder="1" applyAlignment="1">
      <alignment horizontal="right" vertical="center" wrapText="1" indent="1"/>
    </xf>
    <xf numFmtId="166" fontId="5" fillId="0" borderId="1" xfId="1" applyNumberFormat="1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 indent="1"/>
    </xf>
    <xf numFmtId="166" fontId="0" fillId="0" borderId="0" xfId="1" applyNumberFormat="1" applyFont="1"/>
    <xf numFmtId="166" fontId="1" fillId="0" borderId="0" xfId="1" applyNumberFormat="1" applyFont="1"/>
    <xf numFmtId="166" fontId="11" fillId="0" borderId="0" xfId="1" applyNumberFormat="1" applyFont="1" applyAlignment="1">
      <alignment vertical="center" wrapText="1"/>
    </xf>
    <xf numFmtId="166" fontId="13" fillId="0" borderId="0" xfId="1" applyNumberFormat="1" applyFont="1" applyAlignment="1">
      <alignment vertical="center" wrapText="1"/>
    </xf>
    <xf numFmtId="166" fontId="14" fillId="0" borderId="0" xfId="1" applyNumberFormat="1" applyFont="1"/>
    <xf numFmtId="0" fontId="2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0" fillId="0" borderId="0" xfId="0" applyNumberFormat="1"/>
    <xf numFmtId="166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4" fontId="1" fillId="0" borderId="0" xfId="0" applyNumberFormat="1" applyFont="1"/>
    <xf numFmtId="2" fontId="0" fillId="0" borderId="0" xfId="0" applyNumberFormat="1"/>
    <xf numFmtId="0" fontId="22" fillId="0" borderId="1" xfId="0" applyFont="1" applyBorder="1" applyAlignment="1">
      <alignment vertical="center" wrapText="1"/>
    </xf>
    <xf numFmtId="165" fontId="22" fillId="0" borderId="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65" fontId="24" fillId="0" borderId="1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165" fontId="24" fillId="0" borderId="0" xfId="0" applyNumberFormat="1" applyFont="1" applyAlignment="1">
      <alignment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right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right" vertical="center" wrapText="1"/>
    </xf>
    <xf numFmtId="165" fontId="28" fillId="0" borderId="1" xfId="0" applyNumberFormat="1" applyFont="1" applyBorder="1" applyAlignment="1">
      <alignment vertical="center" wrapText="1"/>
    </xf>
    <xf numFmtId="165" fontId="29" fillId="0" borderId="1" xfId="0" applyNumberFormat="1" applyFont="1" applyBorder="1" applyAlignment="1">
      <alignment horizontal="right" vertical="center" wrapText="1"/>
    </xf>
    <xf numFmtId="166" fontId="15" fillId="0" borderId="0" xfId="1" applyNumberFormat="1" applyFont="1" applyAlignment="1">
      <alignment vertical="center" wrapText="1"/>
    </xf>
    <xf numFmtId="165" fontId="15" fillId="0" borderId="0" xfId="0" applyNumberFormat="1" applyFont="1" applyAlignment="1">
      <alignment vertical="center" wrapText="1"/>
    </xf>
    <xf numFmtId="166" fontId="16" fillId="0" borderId="0" xfId="1" applyNumberFormat="1" applyFont="1"/>
    <xf numFmtId="166" fontId="11" fillId="0" borderId="1" xfId="1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5" fontId="15" fillId="0" borderId="1" xfId="0" applyNumberFormat="1" applyFont="1" applyBorder="1" applyAlignment="1">
      <alignment horizontal="right" vertical="top" wrapText="1"/>
    </xf>
    <xf numFmtId="166" fontId="15" fillId="0" borderId="1" xfId="1" applyNumberFormat="1" applyFont="1" applyBorder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2" fontId="1" fillId="0" borderId="0" xfId="0" applyNumberFormat="1" applyFont="1"/>
    <xf numFmtId="0" fontId="30" fillId="0" borderId="0" xfId="0" applyFont="1"/>
    <xf numFmtId="0" fontId="31" fillId="0" borderId="0" xfId="0" applyFont="1"/>
    <xf numFmtId="165" fontId="0" fillId="0" borderId="0" xfId="0" applyNumberFormat="1"/>
    <xf numFmtId="165" fontId="1" fillId="0" borderId="0" xfId="0" applyNumberFormat="1" applyFont="1"/>
    <xf numFmtId="165" fontId="32" fillId="0" borderId="1" xfId="0" applyNumberFormat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33" fillId="0" borderId="0" xfId="1" applyNumberFormat="1" applyFont="1" applyAlignment="1">
      <alignment wrapTex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165" fontId="3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right" vertical="top" wrapText="1"/>
    </xf>
    <xf numFmtId="166" fontId="10" fillId="0" borderId="1" xfId="1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67" fontId="9" fillId="0" borderId="1" xfId="0" applyNumberFormat="1" applyFont="1" applyBorder="1" applyAlignment="1">
      <alignment horizontal="right" vertical="center" wrapText="1" indent="2"/>
    </xf>
    <xf numFmtId="167" fontId="5" fillId="0" borderId="1" xfId="0" applyNumberFormat="1" applyFont="1" applyBorder="1" applyAlignment="1">
      <alignment horizontal="right" vertical="center" indent="2"/>
    </xf>
    <xf numFmtId="0" fontId="2" fillId="0" borderId="0" xfId="0" applyFont="1" applyAlignment="1">
      <alignment horizontal="right" vertical="center" wrapText="1" indent="2"/>
    </xf>
    <xf numFmtId="0" fontId="3" fillId="0" borderId="0" xfId="0" applyFont="1" applyAlignment="1">
      <alignment horizontal="right" vertical="center" wrapText="1" indent="2"/>
    </xf>
    <xf numFmtId="0" fontId="6" fillId="0" borderId="1" xfId="0" applyFont="1" applyBorder="1" applyAlignment="1">
      <alignment horizontal="right" vertical="center" wrapText="1" indent="2"/>
    </xf>
    <xf numFmtId="167" fontId="2" fillId="0" borderId="1" xfId="0" applyNumberFormat="1" applyFont="1" applyBorder="1" applyAlignment="1">
      <alignment horizontal="right" vertical="center" wrapText="1" indent="2"/>
    </xf>
    <xf numFmtId="0" fontId="0" fillId="0" borderId="0" xfId="0" applyAlignment="1">
      <alignment horizontal="right" indent="2"/>
    </xf>
    <xf numFmtId="166" fontId="2" fillId="0" borderId="1" xfId="1" applyNumberFormat="1" applyFont="1" applyBorder="1" applyAlignment="1">
      <alignment horizontal="right" vertical="center" wrapText="1" indent="2"/>
    </xf>
    <xf numFmtId="166" fontId="5" fillId="0" borderId="1" xfId="1" applyNumberFormat="1" applyFont="1" applyBorder="1" applyAlignment="1">
      <alignment horizontal="right" vertical="center" wrapText="1" indent="2"/>
    </xf>
    <xf numFmtId="165" fontId="34" fillId="0" borderId="1" xfId="0" applyNumberFormat="1" applyFont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4" fontId="31" fillId="0" borderId="0" xfId="0" applyNumberFormat="1" applyFont="1"/>
    <xf numFmtId="4" fontId="35" fillId="0" borderId="0" xfId="0" applyNumberFormat="1" applyFont="1"/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wrapText="1"/>
    </xf>
    <xf numFmtId="165" fontId="6" fillId="0" borderId="0" xfId="0" applyNumberFormat="1" applyFont="1" applyAlignment="1">
      <alignment vertical="center" wrapText="1"/>
    </xf>
    <xf numFmtId="166" fontId="6" fillId="0" borderId="0" xfId="1" applyNumberFormat="1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4" fontId="0" fillId="0" borderId="0" xfId="0" applyNumberForma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right" vertical="center"/>
    </xf>
    <xf numFmtId="166" fontId="30" fillId="0" borderId="1" xfId="1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166" fontId="21" fillId="0" borderId="1" xfId="1" applyNumberFormat="1" applyFont="1" applyBorder="1" applyAlignment="1">
      <alignment horizontal="right" vertical="center"/>
    </xf>
    <xf numFmtId="166" fontId="37" fillId="0" borderId="1" xfId="1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6" fontId="1" fillId="0" borderId="1" xfId="1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1" fillId="0" borderId="1" xfId="0" applyNumberFormat="1" applyFont="1" applyBorder="1"/>
    <xf numFmtId="166" fontId="38" fillId="0" borderId="0" xfId="1" applyNumberFormat="1" applyFont="1"/>
    <xf numFmtId="4" fontId="0" fillId="0" borderId="0" xfId="0" applyNumberFormat="1" applyFont="1"/>
    <xf numFmtId="0" fontId="3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center"/>
    </xf>
    <xf numFmtId="166" fontId="30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" fontId="20" fillId="0" borderId="0" xfId="0" applyNumberFormat="1" applyFont="1" applyAlignment="1">
      <alignment horizontal="center"/>
    </xf>
    <xf numFmtId="2" fontId="36" fillId="0" borderId="0" xfId="0" applyNumberFormat="1" applyFont="1" applyAlignment="1">
      <alignment horizontal="center" vertical="center"/>
    </xf>
    <xf numFmtId="4" fontId="39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90" zoomScaleNormal="90" workbookViewId="0"/>
  </sheetViews>
  <sheetFormatPr defaultRowHeight="15" x14ac:dyDescent="0.25"/>
  <cols>
    <col min="1" max="1" width="5.7109375" customWidth="1"/>
    <col min="2" max="2" width="35.7109375" customWidth="1"/>
    <col min="3" max="5" width="10.7109375" customWidth="1"/>
    <col min="6" max="6" width="11.28515625" customWidth="1"/>
    <col min="7" max="12" width="10.7109375" customWidth="1"/>
    <col min="13" max="13" width="10.28515625" customWidth="1"/>
    <col min="14" max="14" width="8.42578125" hidden="1" customWidth="1"/>
    <col min="15" max="15" width="10.28515625" hidden="1" customWidth="1"/>
    <col min="16" max="16" width="8.42578125" hidden="1" customWidth="1"/>
    <col min="17" max="17" width="6.85546875" hidden="1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79" t="s">
        <v>274</v>
      </c>
      <c r="L1" s="179"/>
      <c r="M1" s="179"/>
      <c r="N1" s="1"/>
      <c r="O1" s="1"/>
      <c r="P1" s="1"/>
    </row>
    <row r="2" spans="1:17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2.5" customHeight="1" x14ac:dyDescent="0.25">
      <c r="A3" s="180" t="s">
        <v>215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"/>
      <c r="O3" s="1"/>
      <c r="P3" s="1"/>
    </row>
    <row r="4" spans="1:17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s="3" customFormat="1" ht="24.9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78" t="s">
        <v>184</v>
      </c>
      <c r="L5" s="178"/>
      <c r="M5" s="178"/>
      <c r="N5" s="2"/>
      <c r="O5" s="2"/>
      <c r="P5" s="2"/>
    </row>
    <row r="6" spans="1:17" s="17" customFormat="1" ht="80.099999999999994" customHeight="1" x14ac:dyDescent="0.2">
      <c r="A6" s="19" t="s">
        <v>5</v>
      </c>
      <c r="B6" s="19" t="s">
        <v>2</v>
      </c>
      <c r="C6" s="19" t="s">
        <v>195</v>
      </c>
      <c r="D6" s="19" t="s">
        <v>205</v>
      </c>
      <c r="E6" s="129" t="s">
        <v>230</v>
      </c>
      <c r="F6" s="19" t="s">
        <v>37</v>
      </c>
      <c r="G6" s="18" t="s">
        <v>35</v>
      </c>
      <c r="H6" s="18" t="s">
        <v>36</v>
      </c>
      <c r="I6" s="19" t="s">
        <v>208</v>
      </c>
      <c r="J6" s="18" t="s">
        <v>160</v>
      </c>
      <c r="K6" s="18" t="s">
        <v>161</v>
      </c>
      <c r="L6" s="18" t="s">
        <v>216</v>
      </c>
      <c r="M6" s="18" t="s">
        <v>217</v>
      </c>
      <c r="N6" s="16"/>
      <c r="O6" s="16"/>
      <c r="P6" s="16"/>
    </row>
    <row r="7" spans="1:17" s="17" customFormat="1" ht="15" customHeight="1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6"/>
      <c r="O7" s="16"/>
      <c r="P7" s="16"/>
    </row>
    <row r="8" spans="1:17" ht="30" customHeight="1" x14ac:dyDescent="0.25">
      <c r="A8" s="8"/>
      <c r="B8" s="8" t="s">
        <v>185</v>
      </c>
      <c r="C8" s="13">
        <f>C9+C10</f>
        <v>45480.200000000004</v>
      </c>
      <c r="D8" s="13">
        <f>'Таблица 5'!C11</f>
        <v>51277.599999999999</v>
      </c>
      <c r="E8" s="13">
        <f>'Таблица 5'!S11</f>
        <v>49672.6</v>
      </c>
      <c r="F8" s="13">
        <f>F9+F10</f>
        <v>49672.6</v>
      </c>
      <c r="G8" s="13">
        <f>E8-D8</f>
        <v>-1605</v>
      </c>
      <c r="H8" s="13">
        <f>F8-E8</f>
        <v>0</v>
      </c>
      <c r="I8" s="13">
        <f>I9+I10</f>
        <v>51558.100000000006</v>
      </c>
      <c r="J8" s="13">
        <f>I8-D8</f>
        <v>280.50000000000728</v>
      </c>
      <c r="K8" s="13">
        <f>I8-F8</f>
        <v>1885.5000000000073</v>
      </c>
      <c r="L8" s="25">
        <f>I8/F8</f>
        <v>1.0379585526024409</v>
      </c>
      <c r="M8" s="25">
        <f>I8/C8</f>
        <v>1.1336383745014313</v>
      </c>
      <c r="N8" s="58">
        <f>I8/I12</f>
        <v>7.4365393605177049E-2</v>
      </c>
      <c r="O8" s="58">
        <f>I8/D8</f>
        <v>1.0054702248155141</v>
      </c>
      <c r="P8" s="1"/>
      <c r="Q8" s="85">
        <f>I8/D8</f>
        <v>1.0054702248155141</v>
      </c>
    </row>
    <row r="9" spans="1:17" s="32" customFormat="1" ht="20.100000000000001" customHeight="1" x14ac:dyDescent="0.25">
      <c r="A9" s="29"/>
      <c r="B9" s="29" t="s">
        <v>39</v>
      </c>
      <c r="C9" s="22">
        <f>'Таблица 2'!C11</f>
        <v>31064.800000000003</v>
      </c>
      <c r="D9" s="22">
        <v>34482.300000000003</v>
      </c>
      <c r="E9" s="22">
        <v>32605.3</v>
      </c>
      <c r="F9" s="22">
        <f>'Таблица 2'!D11</f>
        <v>32104.6</v>
      </c>
      <c r="G9" s="22">
        <f>E9-D9</f>
        <v>-1877.0000000000036</v>
      </c>
      <c r="H9" s="22">
        <f>F9-E9</f>
        <v>-500.70000000000073</v>
      </c>
      <c r="I9" s="22">
        <f>'Таблица 2'!E11</f>
        <v>33590.1</v>
      </c>
      <c r="J9" s="22">
        <f>I9-D9</f>
        <v>-892.20000000000437</v>
      </c>
      <c r="K9" s="22">
        <f t="shared" ref="K9:K11" si="0">I9-F9</f>
        <v>1485.5</v>
      </c>
      <c r="L9" s="30">
        <f t="shared" ref="L9:L24" si="1">I9/F9</f>
        <v>1.0462706278851006</v>
      </c>
      <c r="M9" s="30">
        <f>I9/C9</f>
        <v>1.0812913651464036</v>
      </c>
      <c r="N9" s="31"/>
      <c r="O9" s="60"/>
      <c r="P9" s="31"/>
      <c r="Q9" s="85">
        <f>I9/D9</f>
        <v>0.97412585587388301</v>
      </c>
    </row>
    <row r="10" spans="1:17" s="32" customFormat="1" ht="20.100000000000001" customHeight="1" x14ac:dyDescent="0.25">
      <c r="A10" s="29"/>
      <c r="B10" s="29" t="s">
        <v>40</v>
      </c>
      <c r="C10" s="22">
        <f>'Таблица 2'!C19</f>
        <v>14415.4</v>
      </c>
      <c r="D10" s="22">
        <f>D8-D9</f>
        <v>16795.299999999996</v>
      </c>
      <c r="E10" s="22">
        <v>17067.3</v>
      </c>
      <c r="F10" s="22">
        <f>'Таблица 2'!D19</f>
        <v>17568</v>
      </c>
      <c r="G10" s="22">
        <f>E10-D10</f>
        <v>272.00000000000364</v>
      </c>
      <c r="H10" s="22">
        <f t="shared" ref="H10:H23" si="2">F10-E10</f>
        <v>500.70000000000073</v>
      </c>
      <c r="I10" s="22">
        <f>'Таблица 2'!E19</f>
        <v>17968.000000000004</v>
      </c>
      <c r="J10" s="22">
        <f t="shared" ref="J10:J11" si="3">I10-D10</f>
        <v>1172.700000000008</v>
      </c>
      <c r="K10" s="22">
        <f t="shared" si="0"/>
        <v>400.00000000000364</v>
      </c>
      <c r="L10" s="30">
        <f t="shared" si="1"/>
        <v>1.0227686703096541</v>
      </c>
      <c r="M10" s="30">
        <f t="shared" ref="M10:M24" si="4">I10/C10</f>
        <v>1.2464447743385549</v>
      </c>
      <c r="N10" s="31"/>
      <c r="O10" s="59"/>
      <c r="P10" s="31"/>
      <c r="Q10" s="85">
        <f>I10/D10</f>
        <v>1.0698231052734997</v>
      </c>
    </row>
    <row r="11" spans="1:17" ht="20.100000000000001" customHeight="1" x14ac:dyDescent="0.25">
      <c r="A11" s="8"/>
      <c r="B11" s="8" t="s">
        <v>34</v>
      </c>
      <c r="C11" s="13">
        <f>'Таблица 2'!C32</f>
        <v>661542.80000000005</v>
      </c>
      <c r="D11" s="13">
        <f>'Таблица 5'!C12</f>
        <v>571918.30000000005</v>
      </c>
      <c r="E11" s="13">
        <f>'Таблица 5'!S12</f>
        <v>646529.30000000016</v>
      </c>
      <c r="F11" s="13">
        <f>'Таблица 2'!D32</f>
        <v>646529.30000000005</v>
      </c>
      <c r="G11" s="13">
        <f>E11-D11</f>
        <v>74611.000000000116</v>
      </c>
      <c r="H11" s="13">
        <f t="shared" si="2"/>
        <v>0</v>
      </c>
      <c r="I11" s="13">
        <f>'Таблица 2'!E32</f>
        <v>641749.6</v>
      </c>
      <c r="J11" s="13">
        <f t="shared" si="3"/>
        <v>69831.29999999993</v>
      </c>
      <c r="K11" s="13">
        <f t="shared" si="0"/>
        <v>-4779.7000000000698</v>
      </c>
      <c r="L11" s="25">
        <f t="shared" si="1"/>
        <v>0.99260714092926638</v>
      </c>
      <c r="M11" s="25">
        <f t="shared" si="4"/>
        <v>0.97008024272957083</v>
      </c>
      <c r="N11" s="58">
        <f>I12/D12</f>
        <v>1.1125036284738072</v>
      </c>
      <c r="O11" s="58">
        <f>I11/D11</f>
        <v>1.1221001321342574</v>
      </c>
      <c r="P11" s="1"/>
      <c r="Q11" s="74"/>
    </row>
    <row r="12" spans="1:17" s="6" customFormat="1" ht="20.100000000000001" customHeight="1" x14ac:dyDescent="0.25">
      <c r="A12" s="9"/>
      <c r="B12" s="9" t="s">
        <v>6</v>
      </c>
      <c r="C12" s="10">
        <f>C8+C11-0.1</f>
        <v>707022.9</v>
      </c>
      <c r="D12" s="10">
        <f>D8+D11</f>
        <v>623195.9</v>
      </c>
      <c r="E12" s="10">
        <f>E8+E11</f>
        <v>696201.90000000014</v>
      </c>
      <c r="F12" s="10">
        <f>F8+F11</f>
        <v>696201.9</v>
      </c>
      <c r="G12" s="10">
        <f>G8+G11</f>
        <v>73006.000000000116</v>
      </c>
      <c r="H12" s="23">
        <f>F12-E12</f>
        <v>0</v>
      </c>
      <c r="I12" s="10">
        <f>I8+I11</f>
        <v>693307.7</v>
      </c>
      <c r="J12" s="10">
        <f>J8+J11</f>
        <v>70111.79999999993</v>
      </c>
      <c r="K12" s="10">
        <f>K8+K11</f>
        <v>-2894.2000000000626</v>
      </c>
      <c r="L12" s="26">
        <f t="shared" si="1"/>
        <v>0.99584287259198789</v>
      </c>
      <c r="M12" s="26">
        <f t="shared" si="4"/>
        <v>0.98060147698186284</v>
      </c>
      <c r="N12" s="5"/>
      <c r="O12" s="57"/>
      <c r="P12" s="5"/>
      <c r="Q12" s="75"/>
    </row>
    <row r="13" spans="1:17" ht="20.100000000000001" customHeight="1" x14ac:dyDescent="0.25">
      <c r="A13" s="11" t="s">
        <v>8</v>
      </c>
      <c r="B13" s="8" t="s">
        <v>24</v>
      </c>
      <c r="C13" s="13">
        <f>'Таблица 3'!C9</f>
        <v>43028.499999999993</v>
      </c>
      <c r="D13" s="13">
        <f>'Таблица 5'!C15</f>
        <v>44814.200000000004</v>
      </c>
      <c r="E13" s="13">
        <f>'Таблица 5'!S15</f>
        <v>49824.400000000009</v>
      </c>
      <c r="F13" s="13">
        <f>'Таблица 3'!E9</f>
        <v>49730.400000000001</v>
      </c>
      <c r="G13" s="13">
        <f t="shared" ref="G13:G23" si="5">E13-D13</f>
        <v>5010.2000000000044</v>
      </c>
      <c r="H13" s="13">
        <f>F13-E13</f>
        <v>-94.000000000007276</v>
      </c>
      <c r="I13" s="13">
        <f>'Таблица 3'!F9</f>
        <v>41426.900000000009</v>
      </c>
      <c r="J13" s="13">
        <f t="shared" ref="J13:J23" si="6">I13-D13</f>
        <v>-3387.2999999999956</v>
      </c>
      <c r="K13" s="13">
        <f>I13-F13</f>
        <v>-8303.4999999999927</v>
      </c>
      <c r="L13" s="25">
        <f t="shared" si="1"/>
        <v>0.83302969612148725</v>
      </c>
      <c r="M13" s="25">
        <f t="shared" si="4"/>
        <v>0.96277815866228234</v>
      </c>
      <c r="N13" s="58">
        <f>I13/I24</f>
        <v>6.4981965880581735E-2</v>
      </c>
      <c r="O13" s="63">
        <f>I13-C13</f>
        <v>-1601.599999999984</v>
      </c>
      <c r="P13" s="58">
        <f>O13/C13</f>
        <v>-3.7221841337717658E-2</v>
      </c>
      <c r="Q13" s="74"/>
    </row>
    <row r="14" spans="1:17" ht="20.100000000000001" customHeight="1" x14ac:dyDescent="0.25">
      <c r="A14" s="11" t="s">
        <v>9</v>
      </c>
      <c r="B14" s="8" t="s">
        <v>25</v>
      </c>
      <c r="C14" s="13">
        <f>'Таблица 3'!C19</f>
        <v>812.9</v>
      </c>
      <c r="D14" s="13">
        <f>'Таблица 5'!C16</f>
        <v>954.5</v>
      </c>
      <c r="E14" s="13">
        <f>'Таблица 5'!S16</f>
        <v>966.2</v>
      </c>
      <c r="F14" s="13">
        <f>'Таблица 3'!E19</f>
        <v>966.2</v>
      </c>
      <c r="G14" s="13">
        <f t="shared" si="5"/>
        <v>11.700000000000045</v>
      </c>
      <c r="H14" s="13">
        <f t="shared" si="2"/>
        <v>0</v>
      </c>
      <c r="I14" s="13">
        <f>'Таблица 3'!F19</f>
        <v>966.1</v>
      </c>
      <c r="J14" s="13">
        <f t="shared" si="6"/>
        <v>11.600000000000023</v>
      </c>
      <c r="K14" s="13">
        <f t="shared" ref="K14:K23" si="7">I14-F14</f>
        <v>-0.10000000000002274</v>
      </c>
      <c r="L14" s="25">
        <f t="shared" si="1"/>
        <v>0.99989650175947009</v>
      </c>
      <c r="M14" s="25">
        <f t="shared" si="4"/>
        <v>1.1884610653216878</v>
      </c>
      <c r="N14" s="58">
        <f>I14/I24</f>
        <v>1.5154181760457578E-3</v>
      </c>
      <c r="O14" s="63">
        <f t="shared" ref="O14:O23" si="8">I14-C14</f>
        <v>153.20000000000005</v>
      </c>
      <c r="P14" s="58">
        <f t="shared" ref="P14:P24" si="9">O14/C14</f>
        <v>0.18846106532168785</v>
      </c>
      <c r="Q14" s="74"/>
    </row>
    <row r="15" spans="1:17" ht="31.5" x14ac:dyDescent="0.25">
      <c r="A15" s="11" t="s">
        <v>10</v>
      </c>
      <c r="B15" s="8" t="s">
        <v>186</v>
      </c>
      <c r="C15" s="13">
        <f>'Таблица 3'!C22</f>
        <v>1009.8</v>
      </c>
      <c r="D15" s="13">
        <f>'Таблица 5'!C17</f>
        <v>1477</v>
      </c>
      <c r="E15" s="13">
        <f>'Таблица 5'!S17</f>
        <v>2229.1999999999998</v>
      </c>
      <c r="F15" s="13">
        <f>'Таблица 3'!E22</f>
        <v>2229.1999999999998</v>
      </c>
      <c r="G15" s="13">
        <f t="shared" si="5"/>
        <v>752.19999999999982</v>
      </c>
      <c r="H15" s="13">
        <f t="shared" si="2"/>
        <v>0</v>
      </c>
      <c r="I15" s="13">
        <f>'Таблица 3'!F22</f>
        <v>2014.3</v>
      </c>
      <c r="J15" s="13">
        <f t="shared" si="6"/>
        <v>537.29999999999995</v>
      </c>
      <c r="K15" s="13">
        <f t="shared" si="7"/>
        <v>-214.89999999999986</v>
      </c>
      <c r="L15" s="25">
        <f t="shared" si="1"/>
        <v>0.90359770321191468</v>
      </c>
      <c r="M15" s="25">
        <f t="shared" si="4"/>
        <v>1.9947514359279066</v>
      </c>
      <c r="N15" s="58">
        <f>I15/I24</f>
        <v>3.1596178780757371E-3</v>
      </c>
      <c r="O15" s="63">
        <f t="shared" si="8"/>
        <v>1004.5</v>
      </c>
      <c r="P15" s="58">
        <f t="shared" si="9"/>
        <v>0.9947514359279066</v>
      </c>
      <c r="Q15" s="74"/>
    </row>
    <row r="16" spans="1:17" ht="20.100000000000001" customHeight="1" x14ac:dyDescent="0.25">
      <c r="A16" s="11" t="s">
        <v>11</v>
      </c>
      <c r="B16" s="8" t="s">
        <v>26</v>
      </c>
      <c r="C16" s="13">
        <f>'Таблица 3'!C25</f>
        <v>27364.699999999997</v>
      </c>
      <c r="D16" s="13">
        <f>'Таблица 5'!C18</f>
        <v>43797.4</v>
      </c>
      <c r="E16" s="13">
        <f>'Таблица 5'!S18</f>
        <v>36093.4</v>
      </c>
      <c r="F16" s="13">
        <f>'Таблица 3'!E25</f>
        <v>36093.4</v>
      </c>
      <c r="G16" s="13">
        <f t="shared" si="5"/>
        <v>-7704</v>
      </c>
      <c r="H16" s="13">
        <f t="shared" si="2"/>
        <v>0</v>
      </c>
      <c r="I16" s="13">
        <f>'Таблица 3'!F25</f>
        <v>33129.1</v>
      </c>
      <c r="J16" s="13">
        <f t="shared" si="6"/>
        <v>-10668.300000000003</v>
      </c>
      <c r="K16" s="13">
        <f t="shared" si="7"/>
        <v>-2964.3000000000029</v>
      </c>
      <c r="L16" s="25">
        <f t="shared" si="1"/>
        <v>0.91787141139377271</v>
      </c>
      <c r="M16" s="25">
        <f t="shared" si="4"/>
        <v>1.2106509481192924</v>
      </c>
      <c r="N16" s="58">
        <f>I16/I24</f>
        <v>5.1966090773250706E-2</v>
      </c>
      <c r="O16" s="63">
        <f t="shared" si="8"/>
        <v>5764.4000000000015</v>
      </c>
      <c r="P16" s="58">
        <f t="shared" si="9"/>
        <v>0.21065094811929244</v>
      </c>
      <c r="Q16" s="74"/>
    </row>
    <row r="17" spans="1:17" ht="20.100000000000001" customHeight="1" x14ac:dyDescent="0.25">
      <c r="A17" s="11" t="s">
        <v>12</v>
      </c>
      <c r="B17" s="8" t="s">
        <v>27</v>
      </c>
      <c r="C17" s="13">
        <f>'Таблица 3'!C34</f>
        <v>141222.40000000002</v>
      </c>
      <c r="D17" s="13">
        <f>'Таблица 5'!C19</f>
        <v>10019</v>
      </c>
      <c r="E17" s="13">
        <f>'Таблица 5'!S19</f>
        <v>50489.7</v>
      </c>
      <c r="F17" s="13">
        <f>'Таблица 3'!E34</f>
        <v>50489.7</v>
      </c>
      <c r="G17" s="13">
        <f t="shared" si="5"/>
        <v>40470.699999999997</v>
      </c>
      <c r="H17" s="13">
        <f t="shared" si="2"/>
        <v>0</v>
      </c>
      <c r="I17" s="13">
        <f>'Таблица 3'!F34</f>
        <v>47730.6</v>
      </c>
      <c r="J17" s="13">
        <f t="shared" si="6"/>
        <v>37711.599999999999</v>
      </c>
      <c r="K17" s="13">
        <f t="shared" si="7"/>
        <v>-2759.0999999999985</v>
      </c>
      <c r="L17" s="25">
        <f t="shared" si="1"/>
        <v>0.94535321065484645</v>
      </c>
      <c r="M17" s="25">
        <f t="shared" si="4"/>
        <v>0.33798179325659378</v>
      </c>
      <c r="N17" s="58">
        <f>I17/I24</f>
        <v>7.4869908698446994E-2</v>
      </c>
      <c r="O17" s="63">
        <f t="shared" si="8"/>
        <v>-93491.800000000017</v>
      </c>
      <c r="P17" s="58">
        <f t="shared" si="9"/>
        <v>-0.66201820674340617</v>
      </c>
      <c r="Q17" s="74"/>
    </row>
    <row r="18" spans="1:17" ht="20.100000000000001" customHeight="1" x14ac:dyDescent="0.25">
      <c r="A18" s="11" t="s">
        <v>13</v>
      </c>
      <c r="B18" s="8" t="s">
        <v>28</v>
      </c>
      <c r="C18" s="13">
        <f>'Таблица 3'!C38</f>
        <v>93</v>
      </c>
      <c r="D18" s="13">
        <f>'Таблица 5'!C20</f>
        <v>203</v>
      </c>
      <c r="E18" s="13">
        <f>'Таблица 5'!S20</f>
        <v>80</v>
      </c>
      <c r="F18" s="13">
        <f>'Таблица 3'!E38</f>
        <v>80</v>
      </c>
      <c r="G18" s="13">
        <f t="shared" si="5"/>
        <v>-123</v>
      </c>
      <c r="H18" s="13">
        <f t="shared" si="2"/>
        <v>0</v>
      </c>
      <c r="I18" s="13">
        <f>'Таблица 3'!F38</f>
        <v>77.7</v>
      </c>
      <c r="J18" s="13">
        <f t="shared" si="6"/>
        <v>-125.3</v>
      </c>
      <c r="K18" s="13">
        <f t="shared" si="7"/>
        <v>-2.2999999999999972</v>
      </c>
      <c r="L18" s="25">
        <f t="shared" si="1"/>
        <v>0.97125000000000006</v>
      </c>
      <c r="M18" s="25">
        <f t="shared" si="4"/>
        <v>0.83548387096774201</v>
      </c>
      <c r="N18" s="58">
        <f>I18/I24</f>
        <v>1.2187971460382504E-4</v>
      </c>
      <c r="O18" s="63">
        <f t="shared" si="8"/>
        <v>-15.299999999999997</v>
      </c>
      <c r="P18" s="58">
        <f t="shared" si="9"/>
        <v>-0.16451612903225804</v>
      </c>
      <c r="Q18" s="74"/>
    </row>
    <row r="19" spans="1:17" ht="20.100000000000001" customHeight="1" x14ac:dyDescent="0.25">
      <c r="A19" s="11" t="s">
        <v>14</v>
      </c>
      <c r="B19" s="8" t="s">
        <v>29</v>
      </c>
      <c r="C19" s="13">
        <f>'Таблица 3'!C40</f>
        <v>322854.59999999998</v>
      </c>
      <c r="D19" s="13">
        <f>'Таблица 5'!C21</f>
        <v>352175.5</v>
      </c>
      <c r="E19" s="13">
        <f>'Таблица 5'!S21</f>
        <v>383373.5</v>
      </c>
      <c r="F19" s="13">
        <f>'Таблица 3'!E40</f>
        <v>383373.5</v>
      </c>
      <c r="G19" s="13">
        <f t="shared" si="5"/>
        <v>31198</v>
      </c>
      <c r="H19" s="13">
        <f t="shared" si="2"/>
        <v>0</v>
      </c>
      <c r="I19" s="13">
        <f>'Таблица 3'!F40</f>
        <v>344833</v>
      </c>
      <c r="J19" s="13">
        <f t="shared" si="6"/>
        <v>-7342.5</v>
      </c>
      <c r="K19" s="13">
        <f t="shared" si="7"/>
        <v>-38540.5</v>
      </c>
      <c r="L19" s="25">
        <f t="shared" si="1"/>
        <v>0.89947009900266972</v>
      </c>
      <c r="M19" s="25">
        <f t="shared" si="4"/>
        <v>1.0680752264331994</v>
      </c>
      <c r="N19" s="58">
        <f>I19/I24</f>
        <v>0.54090280084917375</v>
      </c>
      <c r="O19" s="63">
        <f t="shared" si="8"/>
        <v>21978.400000000023</v>
      </c>
      <c r="P19" s="58">
        <f t="shared" si="9"/>
        <v>6.8075226433199423E-2</v>
      </c>
      <c r="Q19" s="74"/>
    </row>
    <row r="20" spans="1:17" ht="20.100000000000001" customHeight="1" x14ac:dyDescent="0.25">
      <c r="A20" s="11" t="s">
        <v>15</v>
      </c>
      <c r="B20" s="8" t="s">
        <v>31</v>
      </c>
      <c r="C20" s="13">
        <f>'Таблица 3'!C46</f>
        <v>20842.3</v>
      </c>
      <c r="D20" s="13">
        <f>'Таблица 5'!C22</f>
        <v>23901.7</v>
      </c>
      <c r="E20" s="13">
        <f>'Таблица 5'!S22</f>
        <v>27728.6</v>
      </c>
      <c r="F20" s="13">
        <f>'Таблица 3'!E46</f>
        <v>27728.6</v>
      </c>
      <c r="G20" s="13">
        <f t="shared" si="5"/>
        <v>3826.8999999999978</v>
      </c>
      <c r="H20" s="13">
        <f t="shared" si="2"/>
        <v>0</v>
      </c>
      <c r="I20" s="13">
        <f>'Таблица 3'!F46</f>
        <v>23223.5</v>
      </c>
      <c r="J20" s="13">
        <f t="shared" si="6"/>
        <v>-678.20000000000073</v>
      </c>
      <c r="K20" s="13">
        <f t="shared" si="7"/>
        <v>-4505.0999999999985</v>
      </c>
      <c r="L20" s="25">
        <f t="shared" si="1"/>
        <v>0.83752876091832984</v>
      </c>
      <c r="M20" s="25">
        <f t="shared" si="4"/>
        <v>1.1142484274768141</v>
      </c>
      <c r="N20" s="58">
        <f>I20/I24</f>
        <v>3.6428231043782892E-2</v>
      </c>
      <c r="O20" s="63">
        <f t="shared" si="8"/>
        <v>2381.2000000000007</v>
      </c>
      <c r="P20" s="58">
        <f t="shared" si="9"/>
        <v>0.11424842747681402</v>
      </c>
      <c r="Q20" s="74"/>
    </row>
    <row r="21" spans="1:17" ht="20.100000000000001" customHeight="1" x14ac:dyDescent="0.25">
      <c r="A21" s="11" t="s">
        <v>16</v>
      </c>
      <c r="B21" s="8" t="s">
        <v>30</v>
      </c>
      <c r="C21" s="13">
        <f>'Таблица 3'!C48</f>
        <v>57068.799999999996</v>
      </c>
      <c r="D21" s="13">
        <f>'Таблица 5'!C23</f>
        <v>62382.3</v>
      </c>
      <c r="E21" s="13">
        <f>'Таблица 5'!S23</f>
        <v>60983.839999999997</v>
      </c>
      <c r="F21" s="13">
        <f>'Таблица 3'!E48</f>
        <v>60983.8</v>
      </c>
      <c r="G21" s="13">
        <f t="shared" si="5"/>
        <v>-1398.4600000000064</v>
      </c>
      <c r="H21" s="13">
        <f t="shared" si="2"/>
        <v>-3.9999999993597157E-2</v>
      </c>
      <c r="I21" s="13">
        <f>'Таблица 3'!F48</f>
        <v>59273.3</v>
      </c>
      <c r="J21" s="13">
        <f t="shared" si="6"/>
        <v>-3109</v>
      </c>
      <c r="K21" s="13">
        <f t="shared" si="7"/>
        <v>-1710.5</v>
      </c>
      <c r="L21" s="25">
        <f t="shared" si="1"/>
        <v>0.97195156746545808</v>
      </c>
      <c r="M21" s="25">
        <f t="shared" si="4"/>
        <v>1.0386288129415724</v>
      </c>
      <c r="N21" s="58">
        <f>I21/I24</f>
        <v>9.2975712839471078E-2</v>
      </c>
      <c r="O21" s="63">
        <f t="shared" si="8"/>
        <v>2204.5000000000073</v>
      </c>
      <c r="P21" s="58">
        <f t="shared" si="9"/>
        <v>3.8628812941572409E-2</v>
      </c>
      <c r="Q21" s="74"/>
    </row>
    <row r="22" spans="1:17" ht="20.100000000000001" customHeight="1" x14ac:dyDescent="0.25">
      <c r="A22" s="11" t="s">
        <v>17</v>
      </c>
      <c r="B22" s="8" t="s">
        <v>32</v>
      </c>
      <c r="C22" s="13">
        <f>'Таблица 3'!C54</f>
        <v>3575.2</v>
      </c>
      <c r="D22" s="13">
        <f>'Таблица 5'!C24</f>
        <v>760.3</v>
      </c>
      <c r="E22" s="13">
        <f>'Таблица 5'!S24</f>
        <v>760.3</v>
      </c>
      <c r="F22" s="13">
        <f>'Таблица 3'!E54</f>
        <v>760.3</v>
      </c>
      <c r="G22" s="13">
        <f t="shared" si="5"/>
        <v>0</v>
      </c>
      <c r="H22" s="13">
        <f t="shared" si="2"/>
        <v>0</v>
      </c>
      <c r="I22" s="13">
        <f>'Таблица 3'!F54</f>
        <v>759.5</v>
      </c>
      <c r="J22" s="13">
        <f t="shared" si="6"/>
        <v>-0.79999999999995453</v>
      </c>
      <c r="K22" s="13">
        <f t="shared" si="7"/>
        <v>-0.79999999999995453</v>
      </c>
      <c r="L22" s="25">
        <f t="shared" si="1"/>
        <v>0.99894778376956472</v>
      </c>
      <c r="M22" s="25">
        <f t="shared" si="4"/>
        <v>0.21243566793466101</v>
      </c>
      <c r="N22" s="58">
        <f>I22/I24</f>
        <v>1.1913467598662177E-3</v>
      </c>
      <c r="O22" s="63">
        <f t="shared" si="8"/>
        <v>-2815.7</v>
      </c>
      <c r="P22" s="58">
        <f t="shared" si="9"/>
        <v>-0.78756433206533905</v>
      </c>
      <c r="Q22" s="74"/>
    </row>
    <row r="23" spans="1:17" ht="20.100000000000001" customHeight="1" x14ac:dyDescent="0.25">
      <c r="A23" s="11" t="s">
        <v>18</v>
      </c>
      <c r="B23" s="8" t="s">
        <v>33</v>
      </c>
      <c r="C23" s="13">
        <f>'Таблица 3'!C57</f>
        <v>97613.7</v>
      </c>
      <c r="D23" s="13">
        <f>'Таблица 5'!C25</f>
        <v>81411</v>
      </c>
      <c r="E23" s="13">
        <f>'Таблица 5'!S25</f>
        <v>83985.8</v>
      </c>
      <c r="F23" s="13">
        <f>'Таблица 3'!E57</f>
        <v>84079.8</v>
      </c>
      <c r="G23" s="13">
        <f t="shared" si="5"/>
        <v>2574.8000000000029</v>
      </c>
      <c r="H23" s="13">
        <f t="shared" si="2"/>
        <v>94</v>
      </c>
      <c r="I23" s="13">
        <f>'Таблица 3'!F57</f>
        <v>84079.8</v>
      </c>
      <c r="J23" s="13">
        <f t="shared" si="6"/>
        <v>2668.8000000000029</v>
      </c>
      <c r="K23" s="13">
        <f t="shared" si="7"/>
        <v>0</v>
      </c>
      <c r="L23" s="25">
        <f t="shared" si="1"/>
        <v>1</v>
      </c>
      <c r="M23" s="25">
        <f t="shared" si="4"/>
        <v>0.86135245360026313</v>
      </c>
      <c r="N23" s="58">
        <f>I23/I24</f>
        <v>0.13188702738670127</v>
      </c>
      <c r="O23" s="63">
        <f t="shared" si="8"/>
        <v>-13533.899999999994</v>
      </c>
      <c r="P23" s="58">
        <f t="shared" si="9"/>
        <v>-0.13864754639973687</v>
      </c>
      <c r="Q23" s="74"/>
    </row>
    <row r="24" spans="1:17" s="6" customFormat="1" ht="20.100000000000001" customHeight="1" x14ac:dyDescent="0.25">
      <c r="A24" s="12"/>
      <c r="B24" s="9" t="s">
        <v>19</v>
      </c>
      <c r="C24" s="10">
        <f>SUM(C13:C23)</f>
        <v>715485.9</v>
      </c>
      <c r="D24" s="10">
        <f t="shared" ref="D24:K24" si="10">SUM(D13:D23)</f>
        <v>621895.9</v>
      </c>
      <c r="E24" s="10">
        <f>SUM(E13:E23)</f>
        <v>696514.94000000006</v>
      </c>
      <c r="F24" s="10">
        <f t="shared" si="10"/>
        <v>696514.90000000014</v>
      </c>
      <c r="G24" s="10">
        <f t="shared" si="10"/>
        <v>74619.039999999994</v>
      </c>
      <c r="H24" s="10">
        <f t="shared" si="10"/>
        <v>-4.0000000000873115E-2</v>
      </c>
      <c r="I24" s="10">
        <f t="shared" si="10"/>
        <v>637513.80000000005</v>
      </c>
      <c r="J24" s="10">
        <f t="shared" si="10"/>
        <v>15617.900000000005</v>
      </c>
      <c r="K24" s="10">
        <f t="shared" si="10"/>
        <v>-59001.1</v>
      </c>
      <c r="L24" s="26">
        <f t="shared" si="1"/>
        <v>0.91529097223907185</v>
      </c>
      <c r="M24" s="26">
        <f t="shared" si="4"/>
        <v>0.8910221710868097</v>
      </c>
      <c r="N24" s="5"/>
      <c r="O24" s="57">
        <f>I24-C24</f>
        <v>-77972.099999999977</v>
      </c>
      <c r="P24" s="65">
        <f t="shared" si="9"/>
        <v>-0.10897782891319029</v>
      </c>
      <c r="Q24" s="75">
        <f>G24/D24</f>
        <v>0.1199863835731993</v>
      </c>
    </row>
    <row r="25" spans="1:17" s="6" customFormat="1" ht="20.100000000000001" customHeight="1" x14ac:dyDescent="0.25">
      <c r="A25" s="12"/>
      <c r="B25" s="9" t="s">
        <v>20</v>
      </c>
      <c r="C25" s="144">
        <f t="shared" ref="C25:I25" si="11">C12-C24</f>
        <v>-8463</v>
      </c>
      <c r="D25" s="10">
        <f t="shared" si="11"/>
        <v>1300</v>
      </c>
      <c r="E25" s="144">
        <f t="shared" si="11"/>
        <v>-313.03999999992084</v>
      </c>
      <c r="F25" s="144">
        <f t="shared" si="11"/>
        <v>-313.00000000011642</v>
      </c>
      <c r="G25" s="10"/>
      <c r="H25" s="10"/>
      <c r="I25" s="10">
        <f t="shared" si="11"/>
        <v>55793.899999999907</v>
      </c>
      <c r="J25" s="10"/>
      <c r="K25" s="10"/>
      <c r="L25" s="10"/>
      <c r="M25" s="10"/>
      <c r="N25" s="5"/>
      <c r="O25" s="65"/>
      <c r="P25" s="5"/>
      <c r="Q25" s="75"/>
    </row>
    <row r="26" spans="1:17" ht="15.75" x14ac:dyDescent="0.25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58"/>
      <c r="P26" s="1"/>
    </row>
    <row r="27" spans="1:17" ht="15.75" hidden="1" x14ac:dyDescent="0.25">
      <c r="A27" s="7"/>
      <c r="B27" s="1"/>
      <c r="C27" s="1"/>
      <c r="D27" s="1"/>
      <c r="E27" s="1"/>
      <c r="F27" s="1"/>
      <c r="G27" s="1"/>
      <c r="H27" s="1"/>
      <c r="I27" s="1">
        <v>54935.9</v>
      </c>
      <c r="J27" s="1"/>
      <c r="K27" s="1"/>
      <c r="L27" s="1"/>
      <c r="M27" s="1"/>
      <c r="N27" s="1"/>
      <c r="O27" s="1"/>
      <c r="P27" s="1"/>
    </row>
    <row r="28" spans="1:17" ht="15.75" hidden="1" x14ac:dyDescent="0.25">
      <c r="A28" s="7"/>
      <c r="B28" s="1"/>
      <c r="C28" s="1"/>
      <c r="D28" s="1"/>
      <c r="E28" s="1"/>
      <c r="F28" s="1"/>
      <c r="G28" s="1"/>
      <c r="H28" s="1"/>
      <c r="I28" s="87">
        <f>I25-I27</f>
        <v>857.99999999990541</v>
      </c>
      <c r="J28" s="1"/>
      <c r="K28" s="1"/>
      <c r="L28" s="1"/>
      <c r="M28" s="1"/>
      <c r="N28" s="1"/>
      <c r="O28" s="1"/>
      <c r="P28" s="1"/>
    </row>
    <row r="29" spans="1:17" ht="15.75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ht="15.75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</sheetData>
  <mergeCells count="3">
    <mergeCell ref="K5:M5"/>
    <mergeCell ref="K1:M1"/>
    <mergeCell ref="A3:M3"/>
  </mergeCells>
  <pageMargins left="0.39370078740157483" right="0.39370078740157483" top="0.59055118110236227" bottom="0.59055118110236227" header="0.31496062992125984" footer="0.31496062992125984"/>
  <pageSetup paperSize="9" scale="87" orientation="landscape" r:id="rId1"/>
  <ignoredErrors>
    <ignoredError sqref="G12:K12 F24 H24 J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opLeftCell="B1" workbookViewId="0">
      <pane ySplit="8" topLeftCell="A9" activePane="bottomLeft" state="frozen"/>
      <selection activeCell="B1" sqref="B1"/>
      <selection pane="bottomLeft" activeCell="B9" sqref="B9"/>
    </sheetView>
  </sheetViews>
  <sheetFormatPr defaultRowHeight="15" x14ac:dyDescent="0.25"/>
  <cols>
    <col min="1" max="1" width="5.7109375" hidden="1" customWidth="1"/>
    <col min="2" max="2" width="50.7109375" customWidth="1"/>
    <col min="3" max="7" width="10.7109375" customWidth="1"/>
    <col min="8" max="8" width="10.28515625" customWidth="1"/>
    <col min="9" max="9" width="8.28515625" customWidth="1"/>
    <col min="10" max="10" width="7.140625" hidden="1" customWidth="1"/>
    <col min="11" max="11" width="10.7109375" hidden="1" customWidth="1"/>
    <col min="12" max="13" width="9.140625" hidden="1" customWidth="1"/>
    <col min="14" max="14" width="9.140625" customWidth="1"/>
  </cols>
  <sheetData>
    <row r="1" spans="1:13" ht="15.75" x14ac:dyDescent="0.25">
      <c r="A1" s="1"/>
      <c r="B1" s="1"/>
      <c r="C1" s="1"/>
      <c r="D1" s="1"/>
      <c r="E1" s="1"/>
      <c r="F1" s="1"/>
      <c r="G1" s="179" t="s">
        <v>275</v>
      </c>
      <c r="H1" s="179"/>
      <c r="I1" s="1"/>
      <c r="J1" s="1"/>
      <c r="K1" s="1"/>
    </row>
    <row r="2" spans="1:13" ht="15.75" x14ac:dyDescent="0.25">
      <c r="A2" s="1"/>
      <c r="B2" s="1"/>
      <c r="C2" s="1"/>
      <c r="D2" s="1"/>
      <c r="E2" s="1"/>
      <c r="F2" s="1"/>
      <c r="G2" s="126"/>
      <c r="H2" s="126"/>
      <c r="I2" s="1"/>
      <c r="J2" s="1"/>
      <c r="K2" s="1"/>
    </row>
    <row r="3" spans="1:13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2.5" customHeight="1" x14ac:dyDescent="0.25">
      <c r="A4" s="180" t="s">
        <v>219</v>
      </c>
      <c r="B4" s="180"/>
      <c r="C4" s="180"/>
      <c r="D4" s="180"/>
      <c r="E4" s="180"/>
      <c r="F4" s="180"/>
      <c r="G4" s="180"/>
      <c r="H4" s="180"/>
      <c r="I4" s="1"/>
      <c r="J4" s="1"/>
      <c r="K4" s="1"/>
    </row>
    <row r="5" spans="1:13" ht="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s="3" customFormat="1" ht="20.100000000000001" customHeight="1" x14ac:dyDescent="0.2">
      <c r="A6" s="2"/>
      <c r="B6" s="2"/>
      <c r="C6" s="2"/>
      <c r="D6" s="2"/>
      <c r="E6" s="2"/>
      <c r="F6" s="2"/>
      <c r="G6" s="178"/>
      <c r="H6" s="178"/>
      <c r="I6" s="2"/>
      <c r="J6" s="2"/>
      <c r="K6" s="2"/>
    </row>
    <row r="7" spans="1:13" s="17" customFormat="1" ht="69.95" customHeight="1" x14ac:dyDescent="0.2">
      <c r="A7" s="24" t="s">
        <v>5</v>
      </c>
      <c r="B7" s="24" t="s">
        <v>45</v>
      </c>
      <c r="C7" s="114" t="s">
        <v>195</v>
      </c>
      <c r="D7" s="83" t="s">
        <v>209</v>
      </c>
      <c r="E7" s="24" t="s">
        <v>208</v>
      </c>
      <c r="F7" s="18" t="s">
        <v>163</v>
      </c>
      <c r="G7" s="18" t="s">
        <v>210</v>
      </c>
      <c r="H7" s="18" t="s">
        <v>211</v>
      </c>
      <c r="I7" s="16"/>
      <c r="J7" s="16"/>
      <c r="K7" s="16"/>
    </row>
    <row r="8" spans="1:13" s="17" customFormat="1" ht="15" customHeight="1" x14ac:dyDescent="0.2">
      <c r="A8" s="24">
        <v>1</v>
      </c>
      <c r="B8" s="24">
        <v>1</v>
      </c>
      <c r="C8" s="24">
        <v>2</v>
      </c>
      <c r="D8" s="24">
        <v>3</v>
      </c>
      <c r="E8" s="18">
        <v>4</v>
      </c>
      <c r="F8" s="18">
        <v>5</v>
      </c>
      <c r="G8" s="18">
        <v>6</v>
      </c>
      <c r="H8" s="18">
        <v>7</v>
      </c>
      <c r="I8" s="16"/>
      <c r="J8" s="16"/>
      <c r="K8" s="16"/>
    </row>
    <row r="9" spans="1:13" s="6" customFormat="1" ht="20.100000000000001" customHeight="1" x14ac:dyDescent="0.25">
      <c r="A9" s="9"/>
      <c r="B9" s="54" t="s">
        <v>38</v>
      </c>
      <c r="C9" s="10">
        <f>C10+C32-0.1</f>
        <v>707022.9</v>
      </c>
      <c r="D9" s="10">
        <f>D10+D32</f>
        <v>696201.9</v>
      </c>
      <c r="E9" s="10">
        <f>E10+E32</f>
        <v>693307.7</v>
      </c>
      <c r="F9" s="23">
        <f t="shared" ref="F9:F39" si="0">E9-D9</f>
        <v>-2894.2000000000698</v>
      </c>
      <c r="G9" s="26">
        <f t="shared" ref="G9:G34" si="1">E9/D9</f>
        <v>0.99584287259198789</v>
      </c>
      <c r="H9" s="26">
        <f t="shared" ref="H9:H17" si="2">E9/C9</f>
        <v>0.98060147698186284</v>
      </c>
      <c r="I9" s="5"/>
      <c r="J9" s="5"/>
      <c r="K9" s="61">
        <f>E9-C9</f>
        <v>-13715.20000000007</v>
      </c>
    </row>
    <row r="10" spans="1:13" s="37" customFormat="1" ht="20.100000000000001" customHeight="1" x14ac:dyDescent="0.25">
      <c r="A10" s="33"/>
      <c r="B10" s="33" t="s">
        <v>41</v>
      </c>
      <c r="C10" s="34">
        <f>C11+C19</f>
        <v>45480.200000000004</v>
      </c>
      <c r="D10" s="34">
        <f>D11+D19</f>
        <v>49672.6</v>
      </c>
      <c r="E10" s="34">
        <f>E11+E19</f>
        <v>51558.100000000006</v>
      </c>
      <c r="F10" s="34">
        <f t="shared" si="0"/>
        <v>1885.5000000000073</v>
      </c>
      <c r="G10" s="35">
        <f t="shared" si="1"/>
        <v>1.0379585526024409</v>
      </c>
      <c r="H10" s="35">
        <f t="shared" si="2"/>
        <v>1.1336383745014313</v>
      </c>
      <c r="I10" s="36"/>
      <c r="J10" s="36"/>
      <c r="K10" s="77">
        <f>E10/E9</f>
        <v>7.4365393605177049E-2</v>
      </c>
      <c r="L10" s="78">
        <f>C10/C9</f>
        <v>6.432634643092891E-2</v>
      </c>
      <c r="M10" s="78">
        <f>E10/'Таблица 1'!D8</f>
        <v>1.0054702248155141</v>
      </c>
    </row>
    <row r="11" spans="1:13" s="6" customFormat="1" ht="15.75" customHeight="1" x14ac:dyDescent="0.25">
      <c r="A11" s="38"/>
      <c r="B11" s="38" t="s">
        <v>42</v>
      </c>
      <c r="C11" s="39">
        <f>C12+C13+C14+C18</f>
        <v>31064.800000000003</v>
      </c>
      <c r="D11" s="39">
        <f>D12+D13+D14+D18</f>
        <v>32104.6</v>
      </c>
      <c r="E11" s="39">
        <f>E12+E13+E14+E18</f>
        <v>33590.1</v>
      </c>
      <c r="F11" s="39">
        <f t="shared" si="0"/>
        <v>1485.5</v>
      </c>
      <c r="G11" s="106">
        <f t="shared" si="1"/>
        <v>1.0462706278851006</v>
      </c>
      <c r="H11" s="106">
        <f t="shared" si="2"/>
        <v>1.0812913651464036</v>
      </c>
      <c r="I11" s="40"/>
      <c r="J11" s="76">
        <f>E11/E9</f>
        <v>4.8449050832696655E-2</v>
      </c>
      <c r="K11" s="61">
        <f>E11-C11</f>
        <v>2525.2999999999956</v>
      </c>
      <c r="L11" s="75">
        <f>K11/C11</f>
        <v>8.1291365146403505E-2</v>
      </c>
    </row>
    <row r="12" spans="1:13" s="45" customFormat="1" ht="15.75" customHeight="1" x14ac:dyDescent="0.25">
      <c r="A12" s="41"/>
      <c r="B12" s="41" t="s">
        <v>43</v>
      </c>
      <c r="C12" s="71">
        <v>22045</v>
      </c>
      <c r="D12" s="42">
        <v>23926</v>
      </c>
      <c r="E12" s="71">
        <v>25073.1</v>
      </c>
      <c r="F12" s="42">
        <f t="shared" si="0"/>
        <v>1147.0999999999985</v>
      </c>
      <c r="G12" s="43">
        <f t="shared" si="1"/>
        <v>1.0479436596171527</v>
      </c>
      <c r="H12" s="43">
        <f t="shared" si="2"/>
        <v>1.1373599455658878</v>
      </c>
      <c r="I12" s="103"/>
      <c r="J12" s="103">
        <f>E12/E11</f>
        <v>0.74644314842766168</v>
      </c>
      <c r="K12" s="104"/>
      <c r="L12" s="105">
        <f>E12/E9</f>
        <v>3.6164462041889917E-2</v>
      </c>
    </row>
    <row r="13" spans="1:13" s="45" customFormat="1" ht="15.75" customHeight="1" x14ac:dyDescent="0.25">
      <c r="A13" s="41"/>
      <c r="B13" s="41" t="s">
        <v>191</v>
      </c>
      <c r="C13" s="42">
        <v>96.3</v>
      </c>
      <c r="D13" s="42">
        <v>85.6</v>
      </c>
      <c r="E13" s="42">
        <v>124.2</v>
      </c>
      <c r="F13" s="42">
        <f t="shared" si="0"/>
        <v>38.600000000000009</v>
      </c>
      <c r="G13" s="43">
        <f t="shared" si="1"/>
        <v>1.4509345794392525</v>
      </c>
      <c r="H13" s="43">
        <f t="shared" si="2"/>
        <v>1.2897196261682244</v>
      </c>
      <c r="I13" s="103"/>
      <c r="J13" s="103">
        <f>E13/E11</f>
        <v>3.6975180187019392E-3</v>
      </c>
      <c r="K13" s="44"/>
    </row>
    <row r="14" spans="1:13" s="45" customFormat="1" ht="15.75" customHeight="1" x14ac:dyDescent="0.25">
      <c r="A14" s="41"/>
      <c r="B14" s="41" t="s">
        <v>200</v>
      </c>
      <c r="C14" s="42">
        <f>C15+C16+C17</f>
        <v>7718.1</v>
      </c>
      <c r="D14" s="42">
        <f>D15+D16+D17</f>
        <v>6903.3</v>
      </c>
      <c r="E14" s="42">
        <f>E15+E16+E17</f>
        <v>6903.3</v>
      </c>
      <c r="F14" s="42">
        <f t="shared" si="0"/>
        <v>0</v>
      </c>
      <c r="G14" s="43">
        <f t="shared" si="1"/>
        <v>1</v>
      </c>
      <c r="H14" s="43">
        <f t="shared" si="2"/>
        <v>0.89442997628950127</v>
      </c>
      <c r="I14" s="44"/>
      <c r="J14" s="103">
        <f>E14/E11</f>
        <v>0.20551591093804425</v>
      </c>
      <c r="K14" s="44"/>
    </row>
    <row r="15" spans="1:13" s="32" customFormat="1" ht="15.75" customHeight="1" x14ac:dyDescent="0.25">
      <c r="A15" s="29"/>
      <c r="B15" s="29" t="s">
        <v>197</v>
      </c>
      <c r="C15" s="22">
        <v>6327.8</v>
      </c>
      <c r="D15" s="22">
        <v>5951.8</v>
      </c>
      <c r="E15" s="22">
        <v>5951.8</v>
      </c>
      <c r="F15" s="22">
        <f t="shared" si="0"/>
        <v>0</v>
      </c>
      <c r="G15" s="30">
        <f t="shared" si="1"/>
        <v>1</v>
      </c>
      <c r="H15" s="30">
        <f t="shared" si="2"/>
        <v>0.94057966433831663</v>
      </c>
      <c r="I15" s="59"/>
      <c r="J15" s="59">
        <f>E15/E11</f>
        <v>0.17718911226819808</v>
      </c>
      <c r="K15" s="31"/>
    </row>
    <row r="16" spans="1:13" s="32" customFormat="1" ht="15.75" customHeight="1" x14ac:dyDescent="0.25">
      <c r="A16" s="29"/>
      <c r="B16" s="29" t="s">
        <v>198</v>
      </c>
      <c r="C16" s="22">
        <v>1386</v>
      </c>
      <c r="D16" s="22">
        <v>914.3</v>
      </c>
      <c r="E16" s="22">
        <v>914.3</v>
      </c>
      <c r="F16" s="22">
        <f t="shared" si="0"/>
        <v>0</v>
      </c>
      <c r="G16" s="30">
        <f t="shared" si="1"/>
        <v>1</v>
      </c>
      <c r="H16" s="30">
        <f t="shared" si="2"/>
        <v>0.65966810966810963</v>
      </c>
      <c r="I16" s="31"/>
      <c r="J16" s="59">
        <f>E16/E11</f>
        <v>2.7219329504824339E-2</v>
      </c>
      <c r="K16" s="31"/>
    </row>
    <row r="17" spans="1:13" s="32" customFormat="1" ht="15.75" customHeight="1" x14ac:dyDescent="0.25">
      <c r="A17" s="29"/>
      <c r="B17" s="29" t="s">
        <v>199</v>
      </c>
      <c r="C17" s="22">
        <v>4.3</v>
      </c>
      <c r="D17" s="22">
        <v>37.200000000000003</v>
      </c>
      <c r="E17" s="22">
        <v>37.200000000000003</v>
      </c>
      <c r="F17" s="22">
        <f t="shared" si="0"/>
        <v>0</v>
      </c>
      <c r="G17" s="30">
        <f t="shared" si="1"/>
        <v>1</v>
      </c>
      <c r="H17" s="30">
        <f t="shared" si="2"/>
        <v>8.6511627906976756</v>
      </c>
      <c r="I17" s="31"/>
      <c r="J17" s="59">
        <f>E17/E11</f>
        <v>1.1074691650218369E-3</v>
      </c>
      <c r="K17" s="31"/>
    </row>
    <row r="18" spans="1:13" s="45" customFormat="1" ht="15.75" customHeight="1" x14ac:dyDescent="0.25">
      <c r="A18" s="41"/>
      <c r="B18" s="41" t="s">
        <v>44</v>
      </c>
      <c r="C18" s="42">
        <v>1205.4000000000001</v>
      </c>
      <c r="D18" s="42">
        <v>1189.7</v>
      </c>
      <c r="E18" s="42">
        <v>1489.5</v>
      </c>
      <c r="F18" s="42">
        <f t="shared" si="0"/>
        <v>299.79999999999995</v>
      </c>
      <c r="G18" s="43">
        <f t="shared" si="1"/>
        <v>1.2519963015886357</v>
      </c>
      <c r="H18" s="43">
        <f t="shared" ref="H18:H31" si="3">E18/C18</f>
        <v>1.2356893977103036</v>
      </c>
      <c r="I18" s="44"/>
      <c r="J18" s="103">
        <f>E18/E11</f>
        <v>4.4343422615592099E-2</v>
      </c>
      <c r="K18" s="44"/>
    </row>
    <row r="19" spans="1:13" s="6" customFormat="1" ht="15.75" customHeight="1" x14ac:dyDescent="0.25">
      <c r="A19" s="38"/>
      <c r="B19" s="38" t="s">
        <v>50</v>
      </c>
      <c r="C19" s="39">
        <f>C20+C24+C25+C29+C30+C31</f>
        <v>14415.4</v>
      </c>
      <c r="D19" s="39">
        <f>D20+D24+D25+D29+D30+D31</f>
        <v>17568</v>
      </c>
      <c r="E19" s="39">
        <f>E20+E24+E25+E29+E30+E31</f>
        <v>17968.000000000004</v>
      </c>
      <c r="F19" s="39">
        <f t="shared" si="0"/>
        <v>400.00000000000364</v>
      </c>
      <c r="G19" s="106">
        <f t="shared" si="1"/>
        <v>1.0227686703096541</v>
      </c>
      <c r="H19" s="106">
        <f t="shared" si="3"/>
        <v>1.2464447743385549</v>
      </c>
      <c r="I19" s="40"/>
      <c r="J19" s="76">
        <f>E19/E9</f>
        <v>2.5916342772480394E-2</v>
      </c>
      <c r="K19" s="61">
        <f>E19-C19</f>
        <v>3552.600000000004</v>
      </c>
      <c r="L19" s="75">
        <f>K19/C19</f>
        <v>0.24644477433855488</v>
      </c>
    </row>
    <row r="20" spans="1:13" s="45" customFormat="1" ht="31.5" customHeight="1" x14ac:dyDescent="0.25">
      <c r="A20" s="41"/>
      <c r="B20" s="41" t="s">
        <v>201</v>
      </c>
      <c r="C20" s="42">
        <f>C21+C22+C23</f>
        <v>2901.2</v>
      </c>
      <c r="D20" s="42">
        <f>D21+D22+D23</f>
        <v>3823.2999999999997</v>
      </c>
      <c r="E20" s="42">
        <f>E21+E22+E23</f>
        <v>3334.8</v>
      </c>
      <c r="F20" s="42">
        <f t="shared" si="0"/>
        <v>-488.49999999999955</v>
      </c>
      <c r="G20" s="43">
        <f t="shared" si="1"/>
        <v>0.87223079538618487</v>
      </c>
      <c r="H20" s="43">
        <f t="shared" si="3"/>
        <v>1.1494553977664417</v>
      </c>
      <c r="I20" s="44"/>
      <c r="J20" s="44"/>
      <c r="K20" s="44"/>
    </row>
    <row r="21" spans="1:13" s="32" customFormat="1" ht="75" x14ac:dyDescent="0.25">
      <c r="A21" s="29"/>
      <c r="B21" s="29" t="s">
        <v>202</v>
      </c>
      <c r="C21" s="22">
        <v>2008.9</v>
      </c>
      <c r="D21" s="22">
        <v>1670.8</v>
      </c>
      <c r="E21" s="22">
        <v>1241.0999999999999</v>
      </c>
      <c r="F21" s="22">
        <f t="shared" si="0"/>
        <v>-429.70000000000005</v>
      </c>
      <c r="G21" s="30">
        <f t="shared" si="1"/>
        <v>0.74281781182666984</v>
      </c>
      <c r="H21" s="30">
        <f t="shared" si="3"/>
        <v>0.61780078650007464</v>
      </c>
      <c r="I21" s="31"/>
      <c r="J21" s="31"/>
      <c r="K21" s="31"/>
    </row>
    <row r="22" spans="1:13" s="32" customFormat="1" ht="75" customHeight="1" x14ac:dyDescent="0.25">
      <c r="A22" s="29"/>
      <c r="B22" s="29" t="s">
        <v>162</v>
      </c>
      <c r="C22" s="22">
        <v>847.1</v>
      </c>
      <c r="D22" s="47">
        <v>2091.1</v>
      </c>
      <c r="E22" s="22">
        <v>2034.2</v>
      </c>
      <c r="F22" s="22">
        <f t="shared" si="0"/>
        <v>-56.899999999999864</v>
      </c>
      <c r="G22" s="30">
        <f t="shared" si="1"/>
        <v>0.97278944096408593</v>
      </c>
      <c r="H22" s="30">
        <f t="shared" si="3"/>
        <v>2.4013693778774643</v>
      </c>
      <c r="I22" s="31"/>
      <c r="J22" s="31"/>
      <c r="K22" s="31"/>
    </row>
    <row r="23" spans="1:13" s="32" customFormat="1" ht="15.75" customHeight="1" x14ac:dyDescent="0.25">
      <c r="A23" s="29"/>
      <c r="B23" s="29" t="s">
        <v>256</v>
      </c>
      <c r="C23" s="22">
        <v>45.2</v>
      </c>
      <c r="D23" s="22">
        <v>61.4</v>
      </c>
      <c r="E23" s="22">
        <v>59.5</v>
      </c>
      <c r="F23" s="22">
        <f t="shared" si="0"/>
        <v>-1.8999999999999986</v>
      </c>
      <c r="G23" s="30">
        <f t="shared" si="1"/>
        <v>0.96905537459283386</v>
      </c>
      <c r="H23" s="30">
        <f t="shared" si="3"/>
        <v>1.3163716814159292</v>
      </c>
      <c r="I23" s="31"/>
      <c r="J23" s="31"/>
      <c r="K23" s="31"/>
    </row>
    <row r="24" spans="1:13" s="45" customFormat="1" ht="15.75" customHeight="1" x14ac:dyDescent="0.25">
      <c r="A24" s="41"/>
      <c r="B24" s="41" t="s">
        <v>46</v>
      </c>
      <c r="C24" s="42">
        <v>286.39999999999998</v>
      </c>
      <c r="D24" s="42">
        <v>547.5</v>
      </c>
      <c r="E24" s="42">
        <v>547.5</v>
      </c>
      <c r="F24" s="42">
        <f t="shared" si="0"/>
        <v>0</v>
      </c>
      <c r="G24" s="43">
        <f t="shared" si="1"/>
        <v>1</v>
      </c>
      <c r="H24" s="43">
        <f t="shared" si="3"/>
        <v>1.9116620111731846</v>
      </c>
      <c r="I24" s="44"/>
      <c r="J24" s="44"/>
      <c r="K24" s="44"/>
    </row>
    <row r="25" spans="1:13" s="45" customFormat="1" ht="31.5" customHeight="1" x14ac:dyDescent="0.25">
      <c r="A25" s="41"/>
      <c r="B25" s="41" t="s">
        <v>203</v>
      </c>
      <c r="C25" s="42">
        <f>C26+C27+C28</f>
        <v>8802.5</v>
      </c>
      <c r="D25" s="42">
        <f>D26+D27+D28</f>
        <v>11205.8</v>
      </c>
      <c r="E25" s="42">
        <f>E26+E27+E28</f>
        <v>12091.6</v>
      </c>
      <c r="F25" s="42">
        <f t="shared" si="0"/>
        <v>885.80000000000109</v>
      </c>
      <c r="G25" s="43">
        <f t="shared" si="1"/>
        <v>1.079048349961627</v>
      </c>
      <c r="H25" s="43">
        <f t="shared" si="3"/>
        <v>1.3736552115876173</v>
      </c>
      <c r="I25" s="44"/>
      <c r="J25" s="44"/>
      <c r="K25" s="44"/>
    </row>
    <row r="26" spans="1:13" s="32" customFormat="1" ht="15.75" customHeight="1" x14ac:dyDescent="0.25">
      <c r="A26" s="29"/>
      <c r="B26" s="29" t="s">
        <v>204</v>
      </c>
      <c r="C26" s="22">
        <v>7898.9</v>
      </c>
      <c r="D26" s="22">
        <v>10327.4</v>
      </c>
      <c r="E26" s="22">
        <v>10884.7</v>
      </c>
      <c r="F26" s="22">
        <f t="shared" si="0"/>
        <v>557.30000000000109</v>
      </c>
      <c r="G26" s="30">
        <f t="shared" si="1"/>
        <v>1.0539632434107327</v>
      </c>
      <c r="H26" s="30">
        <f t="shared" si="3"/>
        <v>1.37800200027852</v>
      </c>
      <c r="I26" s="31"/>
      <c r="J26" s="31"/>
      <c r="K26" s="31"/>
    </row>
    <row r="27" spans="1:13" s="32" customFormat="1" ht="30" x14ac:dyDescent="0.25">
      <c r="A27" s="29"/>
      <c r="B27" s="107" t="s">
        <v>231</v>
      </c>
      <c r="C27" s="22">
        <v>877.6</v>
      </c>
      <c r="D27" s="22">
        <v>776.5</v>
      </c>
      <c r="E27" s="22">
        <v>1105</v>
      </c>
      <c r="F27" s="22">
        <f t="shared" si="0"/>
        <v>328.5</v>
      </c>
      <c r="G27" s="30">
        <f t="shared" si="1"/>
        <v>1.4230521571152608</v>
      </c>
      <c r="H27" s="30">
        <f t="shared" si="3"/>
        <v>1.2591157702825888</v>
      </c>
      <c r="I27" s="31"/>
      <c r="J27" s="31"/>
      <c r="K27" s="31"/>
    </row>
    <row r="28" spans="1:13" s="32" customFormat="1" ht="15.75" customHeight="1" x14ac:dyDescent="0.25">
      <c r="A28" s="29"/>
      <c r="B28" s="107" t="s">
        <v>232</v>
      </c>
      <c r="C28" s="22">
        <v>26</v>
      </c>
      <c r="D28" s="22">
        <v>101.9</v>
      </c>
      <c r="E28" s="22">
        <v>101.9</v>
      </c>
      <c r="F28" s="22">
        <f t="shared" ref="F28" si="4">E28-D28</f>
        <v>0</v>
      </c>
      <c r="G28" s="30">
        <f t="shared" ref="G28" si="5">E28/D28</f>
        <v>1</v>
      </c>
      <c r="H28" s="30">
        <f t="shared" ref="H28" si="6">E28/C28</f>
        <v>3.9192307692307695</v>
      </c>
      <c r="I28" s="31"/>
      <c r="J28" s="31"/>
      <c r="K28" s="31"/>
    </row>
    <row r="29" spans="1:13" s="45" customFormat="1" ht="31.5" customHeight="1" x14ac:dyDescent="0.25">
      <c r="A29" s="41"/>
      <c r="B29" s="41" t="s">
        <v>47</v>
      </c>
      <c r="C29" s="71">
        <v>164.8</v>
      </c>
      <c r="D29" s="71">
        <v>121.3</v>
      </c>
      <c r="E29" s="71">
        <v>121.3</v>
      </c>
      <c r="F29" s="42">
        <f t="shared" si="0"/>
        <v>0</v>
      </c>
      <c r="G29" s="43">
        <f t="shared" si="1"/>
        <v>1</v>
      </c>
      <c r="H29" s="43">
        <f t="shared" si="3"/>
        <v>0.73604368932038833</v>
      </c>
      <c r="I29" s="44"/>
      <c r="J29" s="44"/>
      <c r="K29" s="44"/>
    </row>
    <row r="30" spans="1:13" s="45" customFormat="1" ht="15.75" customHeight="1" x14ac:dyDescent="0.25">
      <c r="A30" s="48" t="s">
        <v>8</v>
      </c>
      <c r="B30" s="41" t="s">
        <v>48</v>
      </c>
      <c r="C30" s="42">
        <v>2242.6</v>
      </c>
      <c r="D30" s="71">
        <v>1859.4</v>
      </c>
      <c r="E30" s="71">
        <v>1859.4</v>
      </c>
      <c r="F30" s="42">
        <f t="shared" si="0"/>
        <v>0</v>
      </c>
      <c r="G30" s="43">
        <f t="shared" si="1"/>
        <v>1</v>
      </c>
      <c r="H30" s="43">
        <f t="shared" si="3"/>
        <v>0.82912690626950869</v>
      </c>
      <c r="I30" s="44"/>
      <c r="J30" s="44"/>
      <c r="K30" s="44"/>
    </row>
    <row r="31" spans="1:13" s="45" customFormat="1" ht="15.75" customHeight="1" x14ac:dyDescent="0.25">
      <c r="A31" s="48" t="s">
        <v>8</v>
      </c>
      <c r="B31" s="41" t="s">
        <v>49</v>
      </c>
      <c r="C31" s="42">
        <v>17.899999999999999</v>
      </c>
      <c r="D31" s="42">
        <v>10.7</v>
      </c>
      <c r="E31" s="42">
        <v>13.4</v>
      </c>
      <c r="F31" s="42">
        <f t="shared" si="0"/>
        <v>2.7000000000000011</v>
      </c>
      <c r="G31" s="43">
        <f t="shared" si="1"/>
        <v>1.252336448598131</v>
      </c>
      <c r="H31" s="43">
        <f t="shared" si="3"/>
        <v>0.74860335195530736</v>
      </c>
      <c r="I31" s="44"/>
      <c r="J31" s="44"/>
      <c r="K31" s="44"/>
    </row>
    <row r="32" spans="1:13" s="37" customFormat="1" ht="20.100000000000001" customHeight="1" x14ac:dyDescent="0.25">
      <c r="A32" s="33"/>
      <c r="B32" s="33" t="s">
        <v>51</v>
      </c>
      <c r="C32" s="34">
        <f>C33+C36+C50+C61+C67+C68+C69+C70</f>
        <v>661542.80000000005</v>
      </c>
      <c r="D32" s="34">
        <f>D33+D36+D50+D61+D67+D68+D69+D70</f>
        <v>646529.30000000005</v>
      </c>
      <c r="E32" s="34">
        <f>E33+E36+E50+E61+E67+E68+E69+E70</f>
        <v>641749.6</v>
      </c>
      <c r="F32" s="34">
        <f t="shared" si="0"/>
        <v>-4779.7000000000698</v>
      </c>
      <c r="G32" s="35">
        <f t="shared" si="1"/>
        <v>0.99260714092926638</v>
      </c>
      <c r="H32" s="35">
        <f>E32/C32</f>
        <v>0.97008024272957083</v>
      </c>
      <c r="I32" s="36"/>
      <c r="J32" s="77">
        <f>E32/E9</f>
        <v>0.92563460639482298</v>
      </c>
      <c r="K32" s="62">
        <f>E32-C32</f>
        <v>-19793.20000000007</v>
      </c>
      <c r="L32" s="78">
        <f>K32/C32</f>
        <v>-2.9919757270429167E-2</v>
      </c>
      <c r="M32" s="78">
        <f>E32/'Таблица 1'!D11</f>
        <v>1.1221001321342574</v>
      </c>
    </row>
    <row r="33" spans="1:12" s="45" customFormat="1" ht="15.75" customHeight="1" x14ac:dyDescent="0.25">
      <c r="A33" s="41"/>
      <c r="B33" s="41" t="s">
        <v>52</v>
      </c>
      <c r="C33" s="42">
        <f>C34+C35</f>
        <v>71631.100000000006</v>
      </c>
      <c r="D33" s="42">
        <f>D34+D35</f>
        <v>80057.600000000006</v>
      </c>
      <c r="E33" s="42">
        <f>E34+E35</f>
        <v>80057.600000000006</v>
      </c>
      <c r="F33" s="42">
        <f t="shared" si="0"/>
        <v>0</v>
      </c>
      <c r="G33" s="43">
        <f t="shared" si="1"/>
        <v>1</v>
      </c>
      <c r="H33" s="43">
        <f>E33/C33</f>
        <v>1.1176374507720808</v>
      </c>
      <c r="I33" s="44"/>
      <c r="J33" s="44"/>
      <c r="K33" s="62">
        <f>E33-C33</f>
        <v>8426.5</v>
      </c>
      <c r="L33" s="78">
        <f>K33/C33</f>
        <v>0.11763745077208083</v>
      </c>
    </row>
    <row r="34" spans="1:12" s="32" customFormat="1" ht="15.75" customHeight="1" x14ac:dyDescent="0.25">
      <c r="A34" s="46" t="s">
        <v>12</v>
      </c>
      <c r="B34" s="107" t="s">
        <v>233</v>
      </c>
      <c r="C34" s="22">
        <v>71631.100000000006</v>
      </c>
      <c r="D34" s="22">
        <v>80057.600000000006</v>
      </c>
      <c r="E34" s="22">
        <v>80057.600000000006</v>
      </c>
      <c r="F34" s="22">
        <f t="shared" si="0"/>
        <v>0</v>
      </c>
      <c r="G34" s="30">
        <f t="shared" si="1"/>
        <v>1</v>
      </c>
      <c r="H34" s="30">
        <f>E34/C34</f>
        <v>1.1176374507720808</v>
      </c>
      <c r="I34" s="31"/>
      <c r="J34" s="31"/>
      <c r="K34" s="31"/>
    </row>
    <row r="35" spans="1:12" s="32" customFormat="1" ht="30" hidden="1" customHeight="1" x14ac:dyDescent="0.25">
      <c r="A35" s="46" t="s">
        <v>12</v>
      </c>
      <c r="B35" s="29" t="s">
        <v>53</v>
      </c>
      <c r="C35" s="22"/>
      <c r="D35" s="22"/>
      <c r="E35" s="22"/>
      <c r="F35" s="22">
        <f t="shared" si="0"/>
        <v>0</v>
      </c>
      <c r="G35" s="30"/>
      <c r="H35" s="30"/>
      <c r="I35" s="31"/>
      <c r="J35" s="31"/>
      <c r="K35" s="31"/>
    </row>
    <row r="36" spans="1:12" s="45" customFormat="1" ht="15.75" customHeight="1" x14ac:dyDescent="0.25">
      <c r="A36" s="41"/>
      <c r="B36" s="41" t="s">
        <v>54</v>
      </c>
      <c r="C36" s="42">
        <f>SUM(C37:C47)</f>
        <v>317191.40000000002</v>
      </c>
      <c r="D36" s="42">
        <f>SUM(D37:D47)</f>
        <v>268356.7</v>
      </c>
      <c r="E36" s="42">
        <f>SUM(E37:E47)</f>
        <v>267960.7</v>
      </c>
      <c r="F36" s="42">
        <f t="shared" si="0"/>
        <v>-396</v>
      </c>
      <c r="G36" s="43">
        <f>E36/D36</f>
        <v>0.99852435210300317</v>
      </c>
      <c r="H36" s="43">
        <f>E36/C36</f>
        <v>0.84479181970255179</v>
      </c>
      <c r="I36" s="44"/>
      <c r="J36" s="44"/>
      <c r="K36" s="62">
        <f>E36-C36</f>
        <v>-49230.700000000012</v>
      </c>
      <c r="L36" s="78">
        <f>K36/C36</f>
        <v>-0.15520818029744818</v>
      </c>
    </row>
    <row r="37" spans="1:12" s="32" customFormat="1" ht="30" hidden="1" customHeight="1" x14ac:dyDescent="0.25">
      <c r="A37" s="46" t="s">
        <v>15</v>
      </c>
      <c r="B37" s="29" t="s">
        <v>55</v>
      </c>
      <c r="C37" s="22"/>
      <c r="D37" s="22"/>
      <c r="E37" s="22"/>
      <c r="F37" s="22">
        <f t="shared" si="0"/>
        <v>0</v>
      </c>
      <c r="G37" s="30"/>
      <c r="H37" s="30"/>
      <c r="I37" s="31"/>
      <c r="J37" s="31"/>
      <c r="K37" s="31"/>
    </row>
    <row r="38" spans="1:12" s="32" customFormat="1" ht="45" customHeight="1" x14ac:dyDescent="0.25">
      <c r="A38" s="46" t="s">
        <v>15</v>
      </c>
      <c r="B38" s="29" t="s">
        <v>234</v>
      </c>
      <c r="C38" s="22">
        <v>696.6</v>
      </c>
      <c r="D38" s="22">
        <v>671</v>
      </c>
      <c r="E38" s="22">
        <v>456</v>
      </c>
      <c r="F38" s="22">
        <f t="shared" si="0"/>
        <v>-215</v>
      </c>
      <c r="G38" s="30">
        <f>E38/D38</f>
        <v>0.67958271236959766</v>
      </c>
      <c r="H38" s="30">
        <f>E38/C38</f>
        <v>0.65460809646856155</v>
      </c>
      <c r="I38" s="31"/>
      <c r="J38" s="31"/>
      <c r="K38" s="31"/>
    </row>
    <row r="39" spans="1:12" s="32" customFormat="1" ht="31.5" customHeight="1" x14ac:dyDescent="0.25">
      <c r="A39" s="46"/>
      <c r="B39" s="29" t="s">
        <v>235</v>
      </c>
      <c r="C39" s="22">
        <v>21526.9</v>
      </c>
      <c r="D39" s="22">
        <v>28181</v>
      </c>
      <c r="E39" s="22">
        <v>28181</v>
      </c>
      <c r="F39" s="22">
        <f t="shared" si="0"/>
        <v>0</v>
      </c>
      <c r="G39" s="30">
        <f>E39/D39</f>
        <v>1</v>
      </c>
      <c r="H39" s="30">
        <f>E39/C39</f>
        <v>1.3091062809786824</v>
      </c>
      <c r="I39" s="31"/>
      <c r="J39" s="31"/>
      <c r="K39" s="31"/>
    </row>
    <row r="40" spans="1:12" s="32" customFormat="1" ht="30" hidden="1" customHeight="1" x14ac:dyDescent="0.25">
      <c r="A40" s="46"/>
      <c r="B40" s="29" t="s">
        <v>164</v>
      </c>
      <c r="C40" s="22"/>
      <c r="D40" s="22"/>
      <c r="E40" s="22"/>
      <c r="F40" s="22"/>
      <c r="G40" s="30"/>
      <c r="H40" s="30"/>
      <c r="I40" s="31"/>
      <c r="J40" s="31"/>
      <c r="K40" s="31"/>
    </row>
    <row r="41" spans="1:12" s="32" customFormat="1" ht="31.5" customHeight="1" x14ac:dyDescent="0.25">
      <c r="A41" s="46" t="s">
        <v>15</v>
      </c>
      <c r="B41" s="29" t="s">
        <v>236</v>
      </c>
      <c r="C41" s="47">
        <v>109319.2</v>
      </c>
      <c r="D41" s="22">
        <v>6643</v>
      </c>
      <c r="E41" s="47">
        <v>6624</v>
      </c>
      <c r="F41" s="22">
        <f>E41-D41</f>
        <v>-19</v>
      </c>
      <c r="G41" s="30">
        <f>E41/D41</f>
        <v>0.99713984645491494</v>
      </c>
      <c r="H41" s="30">
        <f>E41/C41</f>
        <v>6.0593198632994026E-2</v>
      </c>
      <c r="I41" s="31"/>
      <c r="J41" s="31"/>
      <c r="K41" s="31"/>
    </row>
    <row r="42" spans="1:12" s="32" customFormat="1" ht="31.5" hidden="1" customHeight="1" x14ac:dyDescent="0.25">
      <c r="A42" s="46" t="s">
        <v>15</v>
      </c>
      <c r="B42" s="107" t="s">
        <v>237</v>
      </c>
      <c r="C42" s="22"/>
      <c r="D42" s="22"/>
      <c r="E42" s="22"/>
      <c r="F42" s="22">
        <f>E42-D42</f>
        <v>0</v>
      </c>
      <c r="G42" s="30" t="e">
        <f>E42/D42</f>
        <v>#DIV/0!</v>
      </c>
      <c r="H42" s="30"/>
      <c r="I42" s="31"/>
      <c r="J42" s="31"/>
      <c r="K42" s="31"/>
    </row>
    <row r="43" spans="1:12" s="32" customFormat="1" ht="45" hidden="1" customHeight="1" x14ac:dyDescent="0.25">
      <c r="A43" s="46"/>
      <c r="B43" s="29" t="s">
        <v>188</v>
      </c>
      <c r="C43" s="47"/>
      <c r="D43" s="22"/>
      <c r="E43" s="47"/>
      <c r="F43" s="22"/>
      <c r="G43" s="30"/>
      <c r="H43" s="30"/>
      <c r="I43" s="31"/>
      <c r="J43" s="31"/>
      <c r="K43" s="31"/>
    </row>
    <row r="44" spans="1:12" s="32" customFormat="1" ht="30" hidden="1" customHeight="1" x14ac:dyDescent="0.25">
      <c r="A44" s="46"/>
      <c r="B44" s="29" t="s">
        <v>165</v>
      </c>
      <c r="C44" s="22"/>
      <c r="D44" s="22"/>
      <c r="E44" s="22"/>
      <c r="F44" s="22"/>
      <c r="G44" s="30"/>
      <c r="H44" s="30"/>
      <c r="I44" s="31"/>
      <c r="J44" s="31"/>
      <c r="K44" s="31"/>
    </row>
    <row r="45" spans="1:12" s="32" customFormat="1" ht="45" x14ac:dyDescent="0.25">
      <c r="A45" s="46" t="s">
        <v>15</v>
      </c>
      <c r="B45" s="29" t="s">
        <v>249</v>
      </c>
      <c r="C45" s="22">
        <v>1100</v>
      </c>
      <c r="D45" s="22">
        <v>1248</v>
      </c>
      <c r="E45" s="22">
        <v>1248</v>
      </c>
      <c r="F45" s="22">
        <f>E45-D45</f>
        <v>0</v>
      </c>
      <c r="G45" s="30">
        <f>E45/D45</f>
        <v>1</v>
      </c>
      <c r="H45" s="30">
        <f>E45/C45</f>
        <v>1.1345454545454545</v>
      </c>
      <c r="I45" s="31"/>
      <c r="J45" s="31"/>
      <c r="K45" s="31"/>
    </row>
    <row r="46" spans="1:12" s="32" customFormat="1" ht="30" hidden="1" customHeight="1" x14ac:dyDescent="0.25">
      <c r="A46" s="46" t="s">
        <v>15</v>
      </c>
      <c r="B46" s="29" t="s">
        <v>56</v>
      </c>
      <c r="C46" s="22"/>
      <c r="D46" s="22"/>
      <c r="E46" s="22"/>
      <c r="F46" s="22"/>
      <c r="G46" s="30"/>
      <c r="H46" s="30"/>
      <c r="I46" s="31"/>
      <c r="J46" s="31"/>
      <c r="K46" s="31"/>
    </row>
    <row r="47" spans="1:12" s="32" customFormat="1" ht="15.75" customHeight="1" x14ac:dyDescent="0.25">
      <c r="A47" s="46" t="s">
        <v>15</v>
      </c>
      <c r="B47" s="29" t="s">
        <v>238</v>
      </c>
      <c r="C47" s="22">
        <v>184548.7</v>
      </c>
      <c r="D47" s="22">
        <v>231613.7</v>
      </c>
      <c r="E47" s="22">
        <v>231451.7</v>
      </c>
      <c r="F47" s="22">
        <f>E47-D47</f>
        <v>-162</v>
      </c>
      <c r="G47" s="30">
        <f>E47/D47</f>
        <v>0.99930055950921726</v>
      </c>
      <c r="H47" s="30">
        <f>E47/C47</f>
        <v>1.2541497176626006</v>
      </c>
      <c r="I47" s="31"/>
      <c r="J47" s="31"/>
      <c r="K47" s="31"/>
    </row>
    <row r="48" spans="1:12" s="17" customFormat="1" ht="69.95" customHeight="1" x14ac:dyDescent="0.2">
      <c r="A48" s="114" t="s">
        <v>5</v>
      </c>
      <c r="B48" s="114" t="s">
        <v>45</v>
      </c>
      <c r="C48" s="114" t="s">
        <v>195</v>
      </c>
      <c r="D48" s="114" t="s">
        <v>209</v>
      </c>
      <c r="E48" s="114" t="s">
        <v>208</v>
      </c>
      <c r="F48" s="18" t="s">
        <v>163</v>
      </c>
      <c r="G48" s="18" t="s">
        <v>210</v>
      </c>
      <c r="H48" s="18" t="s">
        <v>211</v>
      </c>
      <c r="I48" s="16"/>
      <c r="J48" s="16"/>
      <c r="K48" s="16"/>
    </row>
    <row r="49" spans="1:12" s="17" customFormat="1" ht="15" customHeight="1" x14ac:dyDescent="0.2">
      <c r="A49" s="70">
        <v>1</v>
      </c>
      <c r="B49" s="70">
        <v>1</v>
      </c>
      <c r="C49" s="70">
        <v>2</v>
      </c>
      <c r="D49" s="70">
        <v>3</v>
      </c>
      <c r="E49" s="18">
        <v>4</v>
      </c>
      <c r="F49" s="18">
        <v>5</v>
      </c>
      <c r="G49" s="18">
        <v>6</v>
      </c>
      <c r="H49" s="18">
        <v>7</v>
      </c>
      <c r="I49" s="16"/>
      <c r="J49" s="16"/>
      <c r="K49" s="16"/>
    </row>
    <row r="50" spans="1:12" s="45" customFormat="1" ht="15.75" customHeight="1" x14ac:dyDescent="0.25">
      <c r="A50" s="41"/>
      <c r="B50" s="41" t="s">
        <v>57</v>
      </c>
      <c r="C50" s="42">
        <f>SUM(C51:C60)</f>
        <v>260372.90000000005</v>
      </c>
      <c r="D50" s="42">
        <f>SUM(D51:D60)</f>
        <v>285500.79999999999</v>
      </c>
      <c r="E50" s="42">
        <f>SUM(E51:E60)</f>
        <v>284708.5</v>
      </c>
      <c r="F50" s="42">
        <f>E50-D50</f>
        <v>-792.29999999998836</v>
      </c>
      <c r="G50" s="43">
        <f>E50/D50</f>
        <v>0.99722487642766677</v>
      </c>
      <c r="H50" s="43">
        <f>E50/C50</f>
        <v>1.0934644120029386</v>
      </c>
      <c r="I50" s="44"/>
      <c r="J50" s="44"/>
      <c r="K50" s="62">
        <f>E50-C50</f>
        <v>24335.599999999948</v>
      </c>
      <c r="L50" s="78">
        <f>K50/C50</f>
        <v>9.3464412002938646E-2</v>
      </c>
    </row>
    <row r="51" spans="1:12" s="32" customFormat="1" ht="45" customHeight="1" x14ac:dyDescent="0.25">
      <c r="A51" s="46" t="s">
        <v>15</v>
      </c>
      <c r="B51" s="29" t="s">
        <v>239</v>
      </c>
      <c r="C51" s="22">
        <v>4.5999999999999996</v>
      </c>
      <c r="D51" s="22">
        <v>12.8</v>
      </c>
      <c r="E51" s="22">
        <v>12.8</v>
      </c>
      <c r="F51" s="22">
        <f>E51-D51</f>
        <v>0</v>
      </c>
      <c r="G51" s="30">
        <f>E51/D51</f>
        <v>1</v>
      </c>
      <c r="H51" s="30">
        <f>E51/C51</f>
        <v>2.7826086956521743</v>
      </c>
      <c r="I51" s="31"/>
      <c r="J51" s="31"/>
      <c r="K51" s="31"/>
    </row>
    <row r="52" spans="1:12" s="134" customFormat="1" ht="31.5" customHeight="1" x14ac:dyDescent="0.25">
      <c r="A52" s="130" t="s">
        <v>15</v>
      </c>
      <c r="B52" s="107" t="s">
        <v>240</v>
      </c>
      <c r="C52" s="131">
        <v>774</v>
      </c>
      <c r="D52" s="131">
        <v>841.2</v>
      </c>
      <c r="E52" s="131">
        <v>841.2</v>
      </c>
      <c r="F52" s="131">
        <f>E52-D52</f>
        <v>0</v>
      </c>
      <c r="G52" s="132">
        <f>E52/D52</f>
        <v>1</v>
      </c>
      <c r="H52" s="132">
        <f>E52/C52</f>
        <v>1.0868217054263567</v>
      </c>
      <c r="I52" s="133"/>
      <c r="J52" s="133"/>
      <c r="K52" s="133"/>
    </row>
    <row r="53" spans="1:12" s="32" customFormat="1" ht="30" hidden="1" customHeight="1" x14ac:dyDescent="0.25">
      <c r="A53" s="46" t="s">
        <v>15</v>
      </c>
      <c r="B53" s="29" t="s">
        <v>58</v>
      </c>
      <c r="C53" s="22"/>
      <c r="D53" s="22"/>
      <c r="E53" s="22"/>
      <c r="F53" s="22"/>
      <c r="G53" s="30"/>
      <c r="H53" s="30"/>
      <c r="I53" s="31"/>
      <c r="J53" s="31"/>
      <c r="K53" s="31"/>
    </row>
    <row r="54" spans="1:12" s="32" customFormat="1" ht="31.5" customHeight="1" x14ac:dyDescent="0.25">
      <c r="A54" s="46" t="s">
        <v>15</v>
      </c>
      <c r="B54" s="29" t="s">
        <v>241</v>
      </c>
      <c r="C54" s="22">
        <v>252650.2</v>
      </c>
      <c r="D54" s="22">
        <v>279073.09999999998</v>
      </c>
      <c r="E54" s="22">
        <v>278771.7</v>
      </c>
      <c r="F54" s="22">
        <f>E54-D54</f>
        <v>-301.39999999996508</v>
      </c>
      <c r="G54" s="30">
        <f>E54/D54</f>
        <v>0.99891999623037853</v>
      </c>
      <c r="H54" s="30">
        <f>E54/C54</f>
        <v>1.1033899834633023</v>
      </c>
      <c r="I54" s="31"/>
      <c r="J54" s="31"/>
      <c r="K54" s="31"/>
    </row>
    <row r="55" spans="1:12" s="32" customFormat="1" ht="60" customHeight="1" x14ac:dyDescent="0.25">
      <c r="A55" s="46" t="s">
        <v>15</v>
      </c>
      <c r="B55" s="29" t="s">
        <v>242</v>
      </c>
      <c r="C55" s="22">
        <v>3519.2</v>
      </c>
      <c r="D55" s="22">
        <v>5016.7</v>
      </c>
      <c r="E55" s="22">
        <v>5016.7</v>
      </c>
      <c r="F55" s="22">
        <f>E55-D55</f>
        <v>0</v>
      </c>
      <c r="G55" s="30">
        <f>E55/D55</f>
        <v>1</v>
      </c>
      <c r="H55" s="30">
        <f>E55/C55</f>
        <v>1.4255228461013867</v>
      </c>
      <c r="I55" s="31"/>
      <c r="J55" s="31"/>
      <c r="K55" s="31"/>
    </row>
    <row r="56" spans="1:12" s="32" customFormat="1" ht="45" hidden="1" customHeight="1" x14ac:dyDescent="0.25">
      <c r="A56" s="46" t="s">
        <v>15</v>
      </c>
      <c r="B56" s="29" t="s">
        <v>59</v>
      </c>
      <c r="C56" s="22"/>
      <c r="D56" s="22"/>
      <c r="E56" s="22"/>
      <c r="F56" s="22"/>
      <c r="G56" s="30"/>
      <c r="H56" s="30"/>
      <c r="I56" s="31"/>
      <c r="J56" s="31"/>
      <c r="K56" s="31"/>
    </row>
    <row r="57" spans="1:12" s="32" customFormat="1" ht="30" x14ac:dyDescent="0.25">
      <c r="A57" s="46" t="s">
        <v>15</v>
      </c>
      <c r="B57" s="29" t="s">
        <v>250</v>
      </c>
      <c r="C57" s="22"/>
      <c r="D57" s="47">
        <v>557</v>
      </c>
      <c r="E57" s="22">
        <v>66.099999999999994</v>
      </c>
      <c r="F57" s="22">
        <f>E57-D57</f>
        <v>-490.9</v>
      </c>
      <c r="G57" s="30">
        <f>E57/D57</f>
        <v>0.11867145421903051</v>
      </c>
      <c r="H57" s="30"/>
      <c r="I57" s="31"/>
      <c r="J57" s="31"/>
      <c r="K57" s="31"/>
    </row>
    <row r="58" spans="1:12" s="32" customFormat="1" ht="75" customHeight="1" x14ac:dyDescent="0.25">
      <c r="A58" s="46" t="s">
        <v>15</v>
      </c>
      <c r="B58" s="29" t="s">
        <v>243</v>
      </c>
      <c r="C58" s="22">
        <v>2737.7</v>
      </c>
      <c r="D58" s="22"/>
      <c r="E58" s="22"/>
      <c r="F58" s="22"/>
      <c r="G58" s="30"/>
      <c r="H58" s="30"/>
      <c r="I58" s="31"/>
      <c r="J58" s="31"/>
      <c r="K58" s="31"/>
    </row>
    <row r="59" spans="1:12" s="32" customFormat="1" ht="60" customHeight="1" x14ac:dyDescent="0.25">
      <c r="A59" s="46" t="s">
        <v>15</v>
      </c>
      <c r="B59" s="29" t="s">
        <v>244</v>
      </c>
      <c r="C59" s="47">
        <v>687.2</v>
      </c>
      <c r="D59" s="47"/>
      <c r="E59" s="47"/>
      <c r="F59" s="22"/>
      <c r="G59" s="30"/>
      <c r="H59" s="30"/>
      <c r="I59" s="31"/>
      <c r="J59" s="31"/>
      <c r="K59" s="31"/>
    </row>
    <row r="60" spans="1:12" s="32" customFormat="1" ht="15" hidden="1" customHeight="1" x14ac:dyDescent="0.25">
      <c r="A60" s="46" t="s">
        <v>15</v>
      </c>
      <c r="B60" s="29" t="s">
        <v>60</v>
      </c>
      <c r="C60" s="22"/>
      <c r="D60" s="22"/>
      <c r="E60" s="22"/>
      <c r="F60" s="22"/>
      <c r="G60" s="30"/>
      <c r="H60" s="30"/>
      <c r="I60" s="31"/>
      <c r="J60" s="31"/>
      <c r="K60" s="31"/>
    </row>
    <row r="61" spans="1:12" s="45" customFormat="1" ht="15.75" customHeight="1" x14ac:dyDescent="0.25">
      <c r="A61" s="41"/>
      <c r="B61" s="41" t="s">
        <v>61</v>
      </c>
      <c r="C61" s="42">
        <f t="shared" ref="C61" si="7">SUM(C62:C66)</f>
        <v>10399.5</v>
      </c>
      <c r="D61" s="42">
        <f t="shared" ref="D61:E61" si="8">SUM(D62:D66)</f>
        <v>6566.5</v>
      </c>
      <c r="E61" s="42">
        <f t="shared" si="8"/>
        <v>5238.5</v>
      </c>
      <c r="F61" s="42">
        <f t="shared" ref="F61:F67" si="9">E61-D61</f>
        <v>-1328</v>
      </c>
      <c r="G61" s="43">
        <f t="shared" ref="G61:G67" si="10">E61/D61</f>
        <v>0.79776136450163715</v>
      </c>
      <c r="H61" s="43">
        <f t="shared" ref="H61:H67" si="11">E61/C61</f>
        <v>0.50372614067984034</v>
      </c>
      <c r="I61" s="44"/>
      <c r="J61" s="44"/>
      <c r="K61" s="62">
        <f>E61-C61</f>
        <v>-5161</v>
      </c>
      <c r="L61" s="78">
        <f>K61/C61</f>
        <v>-0.4962738593201596</v>
      </c>
    </row>
    <row r="62" spans="1:12" s="32" customFormat="1" ht="60" customHeight="1" x14ac:dyDescent="0.25">
      <c r="A62" s="46" t="s">
        <v>15</v>
      </c>
      <c r="B62" s="29" t="s">
        <v>245</v>
      </c>
      <c r="C62" s="22">
        <v>6367.6</v>
      </c>
      <c r="D62" s="22">
        <v>1890.6</v>
      </c>
      <c r="E62" s="22">
        <v>1890.6</v>
      </c>
      <c r="F62" s="22">
        <f t="shared" si="9"/>
        <v>0</v>
      </c>
      <c r="G62" s="30">
        <f t="shared" si="10"/>
        <v>1</v>
      </c>
      <c r="H62" s="30">
        <f t="shared" si="11"/>
        <v>0.29690935360261322</v>
      </c>
      <c r="I62" s="31"/>
      <c r="J62" s="31"/>
      <c r="K62" s="31"/>
    </row>
    <row r="63" spans="1:12" s="32" customFormat="1" ht="60" customHeight="1" x14ac:dyDescent="0.25">
      <c r="A63" s="46" t="s">
        <v>15</v>
      </c>
      <c r="B63" s="29" t="s">
        <v>246</v>
      </c>
      <c r="C63" s="22">
        <v>1452</v>
      </c>
      <c r="D63" s="22">
        <v>968.5</v>
      </c>
      <c r="E63" s="22">
        <v>955.5</v>
      </c>
      <c r="F63" s="22">
        <f t="shared" si="9"/>
        <v>-13</v>
      </c>
      <c r="G63" s="30">
        <f t="shared" si="10"/>
        <v>0.98657718120805371</v>
      </c>
      <c r="H63" s="30">
        <f t="shared" si="11"/>
        <v>0.65805785123966942</v>
      </c>
      <c r="I63" s="31"/>
      <c r="J63" s="31"/>
      <c r="K63" s="31"/>
    </row>
    <row r="64" spans="1:12" s="32" customFormat="1" ht="45" customHeight="1" x14ac:dyDescent="0.25">
      <c r="A64" s="46" t="s">
        <v>15</v>
      </c>
      <c r="B64" s="29" t="s">
        <v>247</v>
      </c>
      <c r="C64" s="22">
        <v>12</v>
      </c>
      <c r="D64" s="22">
        <v>12</v>
      </c>
      <c r="E64" s="22">
        <v>12</v>
      </c>
      <c r="F64" s="22">
        <f t="shared" si="9"/>
        <v>0</v>
      </c>
      <c r="G64" s="30">
        <f t="shared" si="10"/>
        <v>1</v>
      </c>
      <c r="H64" s="30">
        <f t="shared" si="11"/>
        <v>1</v>
      </c>
      <c r="I64" s="31"/>
      <c r="J64" s="31"/>
      <c r="K64" s="31"/>
    </row>
    <row r="65" spans="1:11" s="32" customFormat="1" ht="75" hidden="1" customHeight="1" x14ac:dyDescent="0.25">
      <c r="A65" s="46" t="s">
        <v>15</v>
      </c>
      <c r="B65" s="29" t="s">
        <v>62</v>
      </c>
      <c r="C65" s="22"/>
      <c r="D65" s="22"/>
      <c r="E65" s="22"/>
      <c r="F65" s="22">
        <f t="shared" si="9"/>
        <v>0</v>
      </c>
      <c r="G65" s="30" t="e">
        <f t="shared" si="10"/>
        <v>#DIV/0!</v>
      </c>
      <c r="H65" s="30" t="e">
        <f t="shared" si="11"/>
        <v>#DIV/0!</v>
      </c>
      <c r="I65" s="31"/>
      <c r="J65" s="31"/>
      <c r="K65" s="31"/>
    </row>
    <row r="66" spans="1:11" s="32" customFormat="1" x14ac:dyDescent="0.25">
      <c r="A66" s="46" t="s">
        <v>15</v>
      </c>
      <c r="B66" s="29" t="s">
        <v>251</v>
      </c>
      <c r="C66" s="22">
        <v>2567.9</v>
      </c>
      <c r="D66" s="22">
        <v>3695.4</v>
      </c>
      <c r="E66" s="22">
        <v>2380.4</v>
      </c>
      <c r="F66" s="22">
        <f t="shared" si="9"/>
        <v>-1315</v>
      </c>
      <c r="G66" s="30">
        <f t="shared" si="10"/>
        <v>0.64415218920820483</v>
      </c>
      <c r="H66" s="30">
        <f t="shared" si="11"/>
        <v>0.92698313797266252</v>
      </c>
      <c r="I66" s="31"/>
      <c r="J66" s="31"/>
      <c r="K66" s="31"/>
    </row>
    <row r="67" spans="1:11" s="113" customFormat="1" ht="15.75" customHeight="1" x14ac:dyDescent="0.25">
      <c r="A67" s="108" t="s">
        <v>15</v>
      </c>
      <c r="B67" s="109" t="s">
        <v>252</v>
      </c>
      <c r="C67" s="110">
        <v>1947.9</v>
      </c>
      <c r="D67" s="110">
        <v>5997.7</v>
      </c>
      <c r="E67" s="110">
        <v>3449.2</v>
      </c>
      <c r="F67" s="110">
        <f t="shared" si="9"/>
        <v>-2548.5</v>
      </c>
      <c r="G67" s="111">
        <f t="shared" si="10"/>
        <v>0.57508711672807911</v>
      </c>
      <c r="H67" s="111">
        <f t="shared" si="11"/>
        <v>1.770727450074439</v>
      </c>
      <c r="I67" s="112"/>
      <c r="J67" s="112"/>
      <c r="K67" s="112"/>
    </row>
    <row r="68" spans="1:11" s="45" customFormat="1" ht="31.5" customHeight="1" x14ac:dyDescent="0.25">
      <c r="A68" s="48" t="s">
        <v>15</v>
      </c>
      <c r="B68" s="41" t="s">
        <v>257</v>
      </c>
      <c r="C68" s="42"/>
      <c r="D68" s="42">
        <v>50</v>
      </c>
      <c r="E68" s="42">
        <v>50</v>
      </c>
      <c r="F68" s="42">
        <f t="shared" ref="F68" si="12">E68-D68</f>
        <v>0</v>
      </c>
      <c r="G68" s="43">
        <f t="shared" ref="G68" si="13">E68/D68</f>
        <v>1</v>
      </c>
      <c r="H68" s="43"/>
      <c r="I68" s="44"/>
      <c r="J68" s="44"/>
      <c r="K68" s="44"/>
    </row>
    <row r="69" spans="1:11" s="45" customFormat="1" ht="31.5" customHeight="1" x14ac:dyDescent="0.25">
      <c r="A69" s="48" t="s">
        <v>15</v>
      </c>
      <c r="B69" s="109" t="s">
        <v>248</v>
      </c>
      <c r="C69" s="42">
        <v>1605</v>
      </c>
      <c r="D69" s="42"/>
      <c r="E69" s="42">
        <v>1561.5</v>
      </c>
      <c r="F69" s="42"/>
      <c r="G69" s="43"/>
      <c r="H69" s="43"/>
      <c r="I69" s="44"/>
      <c r="J69" s="44"/>
      <c r="K69" s="44"/>
    </row>
    <row r="70" spans="1:11" s="45" customFormat="1" ht="45" customHeight="1" x14ac:dyDescent="0.25">
      <c r="A70" s="48" t="s">
        <v>15</v>
      </c>
      <c r="B70" s="41" t="s">
        <v>253</v>
      </c>
      <c r="C70" s="42">
        <v>-1605</v>
      </c>
      <c r="D70" s="42"/>
      <c r="E70" s="42">
        <v>-1276.4000000000001</v>
      </c>
      <c r="F70" s="42"/>
      <c r="G70" s="43"/>
      <c r="H70" s="43"/>
      <c r="I70" s="44"/>
      <c r="J70" s="44"/>
      <c r="K70" s="44"/>
    </row>
    <row r="71" spans="1:1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hidden="1" x14ac:dyDescent="0.25">
      <c r="A72" s="1"/>
      <c r="B72" s="1"/>
      <c r="C72" s="1"/>
      <c r="D72" s="1"/>
      <c r="E72" s="87">
        <f>E9-E50</f>
        <v>408599.19999999995</v>
      </c>
      <c r="F72" s="1"/>
      <c r="G72" s="1"/>
      <c r="H72" s="1"/>
      <c r="I72" s="1"/>
      <c r="J72" s="1"/>
      <c r="K72" s="1"/>
    </row>
    <row r="73" spans="1:1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</sheetData>
  <mergeCells count="3">
    <mergeCell ref="G1:H1"/>
    <mergeCell ref="A4:H4"/>
    <mergeCell ref="G6:H6"/>
  </mergeCells>
  <pageMargins left="0.98425196850393704" right="0.39370078740157483" top="0.59055118110236227" bottom="0.59055118110236227" header="0.31496062992125984" footer="0.31496062992125984"/>
  <pageSetup paperSize="9" scale="76" fitToHeight="2" orientation="portrait" r:id="rId1"/>
  <ignoredErrors>
    <ignoredError sqref="C61:E6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6.7109375" style="52" customWidth="1"/>
    <col min="2" max="2" width="40.7109375" customWidth="1"/>
    <col min="3" max="9" width="10.7109375" customWidth="1"/>
    <col min="10" max="10" width="10.28515625" customWidth="1"/>
    <col min="11" max="11" width="10.7109375" customWidth="1"/>
    <col min="12" max="13" width="10.7109375" style="32" hidden="1" customWidth="1"/>
  </cols>
  <sheetData>
    <row r="1" spans="1:13" ht="15.75" customHeight="1" x14ac:dyDescent="0.25">
      <c r="A1" s="20"/>
      <c r="B1" s="1"/>
      <c r="C1" s="1"/>
      <c r="D1" s="1"/>
      <c r="E1" s="1"/>
      <c r="F1" s="1"/>
      <c r="G1" s="179" t="s">
        <v>276</v>
      </c>
      <c r="H1" s="179"/>
      <c r="I1" s="179"/>
      <c r="J1" s="179"/>
      <c r="K1" s="1"/>
      <c r="L1" s="1"/>
      <c r="M1" s="1"/>
    </row>
    <row r="2" spans="1:13" ht="11.2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2.5" customHeight="1" x14ac:dyDescent="0.25">
      <c r="A3" s="180" t="s">
        <v>218</v>
      </c>
      <c r="B3" s="180"/>
      <c r="C3" s="180"/>
      <c r="D3" s="180"/>
      <c r="E3" s="180"/>
      <c r="F3" s="180"/>
      <c r="G3" s="180"/>
      <c r="H3" s="180"/>
      <c r="I3" s="180"/>
      <c r="J3" s="180"/>
      <c r="K3" s="1"/>
      <c r="L3" s="1"/>
      <c r="M3" s="1"/>
    </row>
    <row r="4" spans="1:13" ht="9" customHeight="1" x14ac:dyDescent="0.25">
      <c r="A4" s="2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3" customFormat="1" ht="20.100000000000001" customHeight="1" x14ac:dyDescent="0.2">
      <c r="A5" s="50"/>
      <c r="B5" s="2"/>
      <c r="C5" s="2"/>
      <c r="D5" s="2"/>
      <c r="E5" s="2"/>
      <c r="F5" s="2"/>
      <c r="G5" s="2"/>
      <c r="H5" s="178" t="s">
        <v>184</v>
      </c>
      <c r="I5" s="178"/>
      <c r="J5" s="178"/>
      <c r="K5" s="2"/>
      <c r="L5" s="2"/>
      <c r="M5" s="2"/>
    </row>
    <row r="6" spans="1:13" s="17" customFormat="1" ht="80.099999999999994" customHeight="1" x14ac:dyDescent="0.2">
      <c r="A6" s="27" t="s">
        <v>64</v>
      </c>
      <c r="B6" s="27" t="s">
        <v>45</v>
      </c>
      <c r="C6" s="27" t="s">
        <v>195</v>
      </c>
      <c r="D6" s="121" t="s">
        <v>205</v>
      </c>
      <c r="E6" s="27" t="s">
        <v>209</v>
      </c>
      <c r="F6" s="27" t="s">
        <v>208</v>
      </c>
      <c r="G6" s="18" t="s">
        <v>36</v>
      </c>
      <c r="H6" s="18" t="s">
        <v>159</v>
      </c>
      <c r="I6" s="18" t="s">
        <v>220</v>
      </c>
      <c r="J6" s="18" t="s">
        <v>221</v>
      </c>
      <c r="K6" s="16"/>
      <c r="L6" s="16"/>
      <c r="M6" s="16"/>
    </row>
    <row r="7" spans="1:13" s="17" customFormat="1" ht="15" customHeight="1" x14ac:dyDescent="0.2">
      <c r="A7" s="27">
        <v>1</v>
      </c>
      <c r="B7" s="27">
        <v>2</v>
      </c>
      <c r="C7" s="27">
        <v>3</v>
      </c>
      <c r="D7" s="27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6"/>
      <c r="L7" s="16"/>
      <c r="M7" s="16"/>
    </row>
    <row r="8" spans="1:13" s="6" customFormat="1" ht="20.100000000000001" customHeight="1" x14ac:dyDescent="0.25">
      <c r="A8" s="51"/>
      <c r="B8" s="54" t="s">
        <v>63</v>
      </c>
      <c r="C8" s="10">
        <f>C9+C19+C22+C25+C34+C38+C40+C46+C48+C54+C57</f>
        <v>715485.9</v>
      </c>
      <c r="D8" s="10">
        <f>D9+D19+D22+D25+D34+D38+D40+D46+D48+D54+D57</f>
        <v>621895.9</v>
      </c>
      <c r="E8" s="10">
        <f>E9+E19+E22+E25+E34+E38+E40+E46+E48+E54+E57</f>
        <v>696514.90000000014</v>
      </c>
      <c r="F8" s="10">
        <f>F9+F19+F22+F25+F34+F38+F40+F46+F48+F54+F57</f>
        <v>637513.80000000005</v>
      </c>
      <c r="G8" s="23">
        <f t="shared" ref="G8:G14" si="0">F8-E8</f>
        <v>-59001.100000000093</v>
      </c>
      <c r="H8" s="23">
        <f t="shared" ref="H8:H14" si="1">F8-C8</f>
        <v>-77972.099999999977</v>
      </c>
      <c r="I8" s="26">
        <f t="shared" ref="I8:I14" si="2">F8/E8</f>
        <v>0.91529097223907185</v>
      </c>
      <c r="J8" s="26">
        <f t="shared" ref="J8:J14" si="3">F8/C8</f>
        <v>0.8910221710868097</v>
      </c>
      <c r="K8" s="5"/>
      <c r="L8" s="157">
        <f>E8-D8</f>
        <v>74619.000000000116</v>
      </c>
      <c r="M8" s="59">
        <f>L8/D8</f>
        <v>0.1199863192537531</v>
      </c>
    </row>
    <row r="9" spans="1:13" s="37" customFormat="1" ht="30" customHeight="1" x14ac:dyDescent="0.25">
      <c r="A9" s="49" t="s">
        <v>66</v>
      </c>
      <c r="B9" s="33" t="s">
        <v>84</v>
      </c>
      <c r="C9" s="34">
        <f>SUM(C10:C14)+SUM(C16:C18)+0.1</f>
        <v>43028.499999999993</v>
      </c>
      <c r="D9" s="34">
        <f>SUM(D10:D14)+SUM(D16:D18)</f>
        <v>44814.200000000004</v>
      </c>
      <c r="E9" s="34">
        <f>SUM(E10:E14)+SUM(E16:E18)</f>
        <v>49730.400000000001</v>
      </c>
      <c r="F9" s="34">
        <f>SUM(F10:F14)+SUM(F16:F18)</f>
        <v>41426.900000000009</v>
      </c>
      <c r="G9" s="34">
        <f t="shared" si="0"/>
        <v>-8303.4999999999927</v>
      </c>
      <c r="H9" s="34">
        <f t="shared" si="1"/>
        <v>-1601.599999999984</v>
      </c>
      <c r="I9" s="35">
        <f t="shared" si="2"/>
        <v>0.83302969612148725</v>
      </c>
      <c r="J9" s="35">
        <f t="shared" si="3"/>
        <v>0.96277815866228234</v>
      </c>
      <c r="K9" s="36"/>
      <c r="L9" s="155">
        <f t="shared" ref="L9:L14" si="4">F9-C9</f>
        <v>-1601.599999999984</v>
      </c>
      <c r="M9" s="156">
        <f t="shared" ref="M9:M14" si="5">L9/C9</f>
        <v>-3.7221841337717658E-2</v>
      </c>
    </row>
    <row r="10" spans="1:13" s="53" customFormat="1" ht="45" customHeight="1" x14ac:dyDescent="0.25">
      <c r="A10" s="11" t="s">
        <v>65</v>
      </c>
      <c r="B10" s="8" t="s">
        <v>72</v>
      </c>
      <c r="C10" s="13">
        <v>1466.1</v>
      </c>
      <c r="D10" s="13">
        <v>1486.5</v>
      </c>
      <c r="E10" s="13">
        <v>1486.5</v>
      </c>
      <c r="F10" s="13">
        <v>1486.5</v>
      </c>
      <c r="G10" s="13">
        <f t="shared" si="0"/>
        <v>0</v>
      </c>
      <c r="H10" s="13">
        <f t="shared" si="1"/>
        <v>20.400000000000091</v>
      </c>
      <c r="I10" s="25">
        <f t="shared" si="2"/>
        <v>1</v>
      </c>
      <c r="J10" s="25">
        <f t="shared" si="3"/>
        <v>1.013914466953141</v>
      </c>
      <c r="K10" s="1"/>
      <c r="L10" s="155">
        <f t="shared" si="4"/>
        <v>20.400000000000091</v>
      </c>
      <c r="M10" s="156">
        <f t="shared" si="5"/>
        <v>1.3914466953141049E-2</v>
      </c>
    </row>
    <row r="11" spans="1:13" s="53" customFormat="1" ht="78" customHeight="1" x14ac:dyDescent="0.25">
      <c r="A11" s="11" t="s">
        <v>67</v>
      </c>
      <c r="B11" s="8" t="s">
        <v>71</v>
      </c>
      <c r="C11" s="13">
        <v>2702</v>
      </c>
      <c r="D11" s="13">
        <v>2655.7</v>
      </c>
      <c r="E11" s="13">
        <v>2655.6</v>
      </c>
      <c r="F11" s="13">
        <v>2617.5</v>
      </c>
      <c r="G11" s="13">
        <f t="shared" si="0"/>
        <v>-38.099999999999909</v>
      </c>
      <c r="H11" s="13">
        <f t="shared" si="1"/>
        <v>-84.5</v>
      </c>
      <c r="I11" s="25">
        <f t="shared" si="2"/>
        <v>0.98565295978309986</v>
      </c>
      <c r="J11" s="25">
        <f t="shared" si="3"/>
        <v>0.9687268689859363</v>
      </c>
      <c r="K11" s="1"/>
      <c r="L11" s="155">
        <f t="shared" si="4"/>
        <v>-84.5</v>
      </c>
      <c r="M11" s="156">
        <f t="shared" si="5"/>
        <v>-3.1273131014063656E-2</v>
      </c>
    </row>
    <row r="12" spans="1:13" s="53" customFormat="1" ht="78" customHeight="1" x14ac:dyDescent="0.25">
      <c r="A12" s="11" t="s">
        <v>68</v>
      </c>
      <c r="B12" s="8" t="s">
        <v>73</v>
      </c>
      <c r="C12" s="13">
        <v>30695.5</v>
      </c>
      <c r="D12" s="13">
        <v>30344.3</v>
      </c>
      <c r="E12" s="13">
        <v>30450.3</v>
      </c>
      <c r="F12" s="13">
        <v>30081.9</v>
      </c>
      <c r="G12" s="13">
        <f t="shared" si="0"/>
        <v>-368.39999999999782</v>
      </c>
      <c r="H12" s="13">
        <f t="shared" si="1"/>
        <v>-613.59999999999854</v>
      </c>
      <c r="I12" s="25">
        <f t="shared" si="2"/>
        <v>0.98790159702860081</v>
      </c>
      <c r="J12" s="25">
        <f t="shared" si="3"/>
        <v>0.98001009920020854</v>
      </c>
      <c r="K12" s="1"/>
      <c r="L12" s="155">
        <f t="shared" si="4"/>
        <v>-613.59999999999854</v>
      </c>
      <c r="M12" s="156">
        <f t="shared" si="5"/>
        <v>-1.9989900799791453E-2</v>
      </c>
    </row>
    <row r="13" spans="1:13" s="53" customFormat="1" ht="15" customHeight="1" x14ac:dyDescent="0.25">
      <c r="A13" s="11" t="s">
        <v>155</v>
      </c>
      <c r="B13" s="8" t="s">
        <v>156</v>
      </c>
      <c r="C13" s="13">
        <v>4.5999999999999996</v>
      </c>
      <c r="D13" s="13">
        <v>12.8</v>
      </c>
      <c r="E13" s="13">
        <v>12.8</v>
      </c>
      <c r="F13" s="13">
        <v>12.8</v>
      </c>
      <c r="G13" s="13">
        <f t="shared" si="0"/>
        <v>0</v>
      </c>
      <c r="H13" s="13">
        <f t="shared" si="1"/>
        <v>8.2000000000000011</v>
      </c>
      <c r="I13" s="25">
        <f t="shared" si="2"/>
        <v>1</v>
      </c>
      <c r="J13" s="25">
        <f t="shared" si="3"/>
        <v>2.7826086956521743</v>
      </c>
      <c r="K13" s="1"/>
      <c r="L13" s="155">
        <f t="shared" si="4"/>
        <v>8.2000000000000011</v>
      </c>
      <c r="M13" s="156">
        <f t="shared" si="5"/>
        <v>1.7826086956521743</v>
      </c>
    </row>
    <row r="14" spans="1:13" s="53" customFormat="1" ht="60" customHeight="1" x14ac:dyDescent="0.25">
      <c r="A14" s="11" t="s">
        <v>69</v>
      </c>
      <c r="B14" s="8" t="s">
        <v>74</v>
      </c>
      <c r="C14" s="13">
        <v>2236</v>
      </c>
      <c r="D14" s="13">
        <v>2304.6</v>
      </c>
      <c r="E14" s="13">
        <v>2304.6</v>
      </c>
      <c r="F14" s="13">
        <v>2216.9</v>
      </c>
      <c r="G14" s="13">
        <f t="shared" si="0"/>
        <v>-87.699999999999818</v>
      </c>
      <c r="H14" s="13">
        <f t="shared" si="1"/>
        <v>-19.099999999999909</v>
      </c>
      <c r="I14" s="25">
        <f t="shared" si="2"/>
        <v>0.96194567386965213</v>
      </c>
      <c r="J14" s="25">
        <f t="shared" si="3"/>
        <v>0.99145796064400715</v>
      </c>
      <c r="K14" s="1"/>
      <c r="L14" s="155">
        <f t="shared" si="4"/>
        <v>-19.099999999999909</v>
      </c>
      <c r="M14" s="156">
        <f t="shared" si="5"/>
        <v>-8.5420393559928042E-3</v>
      </c>
    </row>
    <row r="15" spans="1:13" s="17" customFormat="1" ht="15" customHeight="1" x14ac:dyDescent="0.2">
      <c r="A15" s="80">
        <v>1</v>
      </c>
      <c r="B15" s="80">
        <v>2</v>
      </c>
      <c r="C15" s="80">
        <v>3</v>
      </c>
      <c r="D15" s="80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6"/>
      <c r="L15" s="16"/>
      <c r="M15" s="16"/>
    </row>
    <row r="16" spans="1:13" s="53" customFormat="1" ht="31.5" x14ac:dyDescent="0.25">
      <c r="A16" s="11" t="s">
        <v>189</v>
      </c>
      <c r="B16" s="8" t="s">
        <v>190</v>
      </c>
      <c r="C16" s="13">
        <v>305</v>
      </c>
      <c r="D16" s="13"/>
      <c r="E16" s="13"/>
      <c r="F16" s="13"/>
      <c r="G16" s="13"/>
      <c r="H16" s="13"/>
      <c r="I16" s="25"/>
      <c r="J16" s="25"/>
      <c r="K16" s="1"/>
      <c r="L16" s="155">
        <f t="shared" ref="L16:L23" si="6">F16-C16</f>
        <v>-305</v>
      </c>
      <c r="M16" s="156">
        <f t="shared" ref="M16:M23" si="7">L16/C16</f>
        <v>-1</v>
      </c>
    </row>
    <row r="17" spans="1:13" s="53" customFormat="1" ht="15" customHeight="1" x14ac:dyDescent="0.25">
      <c r="A17" s="11" t="s">
        <v>157</v>
      </c>
      <c r="B17" s="8" t="s">
        <v>158</v>
      </c>
      <c r="C17" s="13"/>
      <c r="D17" s="13">
        <v>3036</v>
      </c>
      <c r="E17" s="13">
        <v>6842.4</v>
      </c>
      <c r="F17" s="13"/>
      <c r="G17" s="13">
        <f t="shared" ref="G17:G26" si="8">F17-E17</f>
        <v>-6842.4</v>
      </c>
      <c r="H17" s="13">
        <f t="shared" ref="H17:H23" si="9">F17-C17</f>
        <v>0</v>
      </c>
      <c r="I17" s="25">
        <f t="shared" ref="I17:I23" si="10">F17/E17</f>
        <v>0</v>
      </c>
      <c r="J17" s="25"/>
      <c r="K17" s="1"/>
      <c r="L17" s="155">
        <f t="shared" si="6"/>
        <v>0</v>
      </c>
      <c r="M17" s="156" t="e">
        <f t="shared" si="7"/>
        <v>#DIV/0!</v>
      </c>
    </row>
    <row r="18" spans="1:13" s="53" customFormat="1" ht="15" customHeight="1" x14ac:dyDescent="0.25">
      <c r="A18" s="11" t="s">
        <v>70</v>
      </c>
      <c r="B18" s="8" t="s">
        <v>75</v>
      </c>
      <c r="C18" s="13">
        <v>5619.2</v>
      </c>
      <c r="D18" s="13">
        <v>4974.3</v>
      </c>
      <c r="E18" s="13">
        <v>5978.2</v>
      </c>
      <c r="F18" s="13">
        <v>5011.3</v>
      </c>
      <c r="G18" s="13">
        <f t="shared" si="8"/>
        <v>-966.89999999999964</v>
      </c>
      <c r="H18" s="13">
        <f t="shared" si="9"/>
        <v>-607.89999999999964</v>
      </c>
      <c r="I18" s="25">
        <f t="shared" si="10"/>
        <v>0.83826235321668741</v>
      </c>
      <c r="J18" s="25">
        <f t="shared" ref="J18:J23" si="11">F18/C18</f>
        <v>0.89181734054669715</v>
      </c>
      <c r="K18" s="1"/>
      <c r="L18" s="155">
        <f t="shared" si="6"/>
        <v>-607.89999999999964</v>
      </c>
      <c r="M18" s="156">
        <f t="shared" si="7"/>
        <v>-0.1081826594533029</v>
      </c>
    </row>
    <row r="19" spans="1:13" s="37" customFormat="1" ht="15" customHeight="1" x14ac:dyDescent="0.25">
      <c r="A19" s="49" t="s">
        <v>76</v>
      </c>
      <c r="B19" s="33" t="s">
        <v>79</v>
      </c>
      <c r="C19" s="34">
        <f>SUM(C20:C21)</f>
        <v>812.9</v>
      </c>
      <c r="D19" s="34">
        <f>SUM(D20:D21)</f>
        <v>954.5</v>
      </c>
      <c r="E19" s="34">
        <f>SUM(E20:E21)</f>
        <v>966.2</v>
      </c>
      <c r="F19" s="34">
        <f>SUM(F20:F21)</f>
        <v>966.1</v>
      </c>
      <c r="G19" s="34">
        <f t="shared" si="8"/>
        <v>-0.10000000000002274</v>
      </c>
      <c r="H19" s="34">
        <f t="shared" si="9"/>
        <v>153.20000000000005</v>
      </c>
      <c r="I19" s="35">
        <f t="shared" si="10"/>
        <v>0.99989650175947009</v>
      </c>
      <c r="J19" s="35">
        <f t="shared" si="11"/>
        <v>1.1884610653216878</v>
      </c>
      <c r="K19" s="36"/>
      <c r="L19" s="155">
        <f t="shared" si="6"/>
        <v>153.20000000000005</v>
      </c>
      <c r="M19" s="156">
        <f t="shared" si="7"/>
        <v>0.18846106532168785</v>
      </c>
    </row>
    <row r="20" spans="1:13" s="53" customFormat="1" ht="30" customHeight="1" x14ac:dyDescent="0.25">
      <c r="A20" s="28" t="s">
        <v>77</v>
      </c>
      <c r="B20" s="56" t="s">
        <v>80</v>
      </c>
      <c r="C20" s="72">
        <v>774</v>
      </c>
      <c r="D20" s="55">
        <v>829.5</v>
      </c>
      <c r="E20" s="72">
        <v>841.2</v>
      </c>
      <c r="F20" s="72">
        <v>841.2</v>
      </c>
      <c r="G20" s="13">
        <f t="shared" si="8"/>
        <v>0</v>
      </c>
      <c r="H20" s="13">
        <f t="shared" si="9"/>
        <v>67.200000000000045</v>
      </c>
      <c r="I20" s="25">
        <f t="shared" si="10"/>
        <v>1</v>
      </c>
      <c r="J20" s="25">
        <f t="shared" si="11"/>
        <v>1.0868217054263567</v>
      </c>
      <c r="K20" s="1"/>
      <c r="L20" s="155">
        <f t="shared" si="6"/>
        <v>67.200000000000045</v>
      </c>
      <c r="M20" s="156">
        <f t="shared" si="7"/>
        <v>8.6821705426356643E-2</v>
      </c>
    </row>
    <row r="21" spans="1:13" s="53" customFormat="1" ht="15" customHeight="1" x14ac:dyDescent="0.25">
      <c r="A21" s="28" t="s">
        <v>78</v>
      </c>
      <c r="B21" s="56" t="s">
        <v>81</v>
      </c>
      <c r="C21" s="72">
        <v>38.9</v>
      </c>
      <c r="D21" s="55">
        <v>125</v>
      </c>
      <c r="E21" s="72">
        <v>125</v>
      </c>
      <c r="F21" s="72">
        <v>124.9</v>
      </c>
      <c r="G21" s="13">
        <f t="shared" si="8"/>
        <v>-9.9999999999994316E-2</v>
      </c>
      <c r="H21" s="13">
        <f t="shared" si="9"/>
        <v>86</v>
      </c>
      <c r="I21" s="25">
        <f t="shared" si="10"/>
        <v>0.99920000000000009</v>
      </c>
      <c r="J21" s="25">
        <f t="shared" si="11"/>
        <v>3.2107969151670952</v>
      </c>
      <c r="K21" s="1"/>
      <c r="L21" s="155">
        <f t="shared" si="6"/>
        <v>86</v>
      </c>
      <c r="M21" s="156">
        <f t="shared" si="7"/>
        <v>2.2107969151670952</v>
      </c>
    </row>
    <row r="22" spans="1:13" s="37" customFormat="1" ht="45" customHeight="1" x14ac:dyDescent="0.25">
      <c r="A22" s="49" t="s">
        <v>82</v>
      </c>
      <c r="B22" s="33" t="s">
        <v>83</v>
      </c>
      <c r="C22" s="34">
        <f>SUM(C23:C23)</f>
        <v>1009.8</v>
      </c>
      <c r="D22" s="34">
        <f>SUM(D23:D24)</f>
        <v>1477</v>
      </c>
      <c r="E22" s="34">
        <f>SUM(E23:E24)</f>
        <v>2229.1999999999998</v>
      </c>
      <c r="F22" s="34">
        <f>SUM(F23:F24)</f>
        <v>2014.3</v>
      </c>
      <c r="G22" s="34">
        <f t="shared" si="8"/>
        <v>-214.89999999999986</v>
      </c>
      <c r="H22" s="34">
        <f t="shared" si="9"/>
        <v>1004.5</v>
      </c>
      <c r="I22" s="35">
        <f t="shared" si="10"/>
        <v>0.90359770321191468</v>
      </c>
      <c r="J22" s="35">
        <f t="shared" si="11"/>
        <v>1.9947514359279066</v>
      </c>
      <c r="K22" s="36"/>
      <c r="L22" s="155">
        <f t="shared" si="6"/>
        <v>1004.5</v>
      </c>
      <c r="M22" s="156">
        <f t="shared" si="7"/>
        <v>0.9947514359279066</v>
      </c>
    </row>
    <row r="23" spans="1:13" s="53" customFormat="1" ht="60" customHeight="1" x14ac:dyDescent="0.25">
      <c r="A23" s="11" t="s">
        <v>86</v>
      </c>
      <c r="B23" s="8" t="s">
        <v>85</v>
      </c>
      <c r="C23" s="13">
        <v>1009.8</v>
      </c>
      <c r="D23" s="13">
        <v>1477</v>
      </c>
      <c r="E23" s="13">
        <v>2229.1999999999998</v>
      </c>
      <c r="F23" s="13">
        <v>2014.3</v>
      </c>
      <c r="G23" s="13">
        <f t="shared" si="8"/>
        <v>-214.89999999999986</v>
      </c>
      <c r="H23" s="13">
        <f t="shared" si="9"/>
        <v>1004.5</v>
      </c>
      <c r="I23" s="25">
        <f t="shared" si="10"/>
        <v>0.90359770321191468</v>
      </c>
      <c r="J23" s="25">
        <f t="shared" si="11"/>
        <v>1.9947514359279066</v>
      </c>
      <c r="K23" s="1"/>
      <c r="L23" s="155">
        <f t="shared" si="6"/>
        <v>1004.5</v>
      </c>
      <c r="M23" s="156">
        <f t="shared" si="7"/>
        <v>0.9947514359279066</v>
      </c>
    </row>
    <row r="24" spans="1:13" s="53" customFormat="1" ht="15.75" hidden="1" x14ac:dyDescent="0.25">
      <c r="A24" s="11" t="s">
        <v>193</v>
      </c>
      <c r="B24" s="8" t="s">
        <v>192</v>
      </c>
      <c r="C24" s="13"/>
      <c r="D24" s="13"/>
      <c r="E24" s="13"/>
      <c r="F24" s="13"/>
      <c r="G24" s="13">
        <f t="shared" si="8"/>
        <v>0</v>
      </c>
      <c r="H24" s="13"/>
      <c r="I24" s="25"/>
      <c r="J24" s="25"/>
      <c r="K24" s="1"/>
      <c r="L24" s="155"/>
      <c r="M24" s="156"/>
    </row>
    <row r="25" spans="1:13" s="37" customFormat="1" ht="15" customHeight="1" x14ac:dyDescent="0.25">
      <c r="A25" s="49" t="s">
        <v>87</v>
      </c>
      <c r="B25" s="33" t="s">
        <v>88</v>
      </c>
      <c r="C25" s="34">
        <f>SUM(C26:C33)+0.1</f>
        <v>27364.699999999997</v>
      </c>
      <c r="D25" s="34">
        <f>SUM(D26:D33)</f>
        <v>43797.4</v>
      </c>
      <c r="E25" s="34">
        <f>SUM(E26:E33)</f>
        <v>36093.4</v>
      </c>
      <c r="F25" s="34">
        <f>SUM(F26:F33)</f>
        <v>33129.1</v>
      </c>
      <c r="G25" s="34">
        <f t="shared" si="8"/>
        <v>-2964.3000000000029</v>
      </c>
      <c r="H25" s="34">
        <f>F25-C25</f>
        <v>5764.4000000000015</v>
      </c>
      <c r="I25" s="35">
        <f>F25/E25</f>
        <v>0.91787141139377271</v>
      </c>
      <c r="J25" s="35">
        <f>F25/C25</f>
        <v>1.2106509481192924</v>
      </c>
      <c r="K25" s="36"/>
      <c r="L25" s="155">
        <f t="shared" ref="L25:L41" si="12">F25-C25</f>
        <v>5764.4000000000015</v>
      </c>
      <c r="M25" s="156">
        <f t="shared" ref="M25:M41" si="13">L25/C25</f>
        <v>0.21065094811929244</v>
      </c>
    </row>
    <row r="26" spans="1:13" s="53" customFormat="1" ht="15" customHeight="1" x14ac:dyDescent="0.25">
      <c r="A26" s="11" t="s">
        <v>89</v>
      </c>
      <c r="B26" s="8" t="s">
        <v>95</v>
      </c>
      <c r="C26" s="21">
        <v>886.5</v>
      </c>
      <c r="D26" s="13">
        <v>1043.8</v>
      </c>
      <c r="E26" s="13">
        <v>773.8</v>
      </c>
      <c r="F26" s="21">
        <v>771.8</v>
      </c>
      <c r="G26" s="13">
        <f t="shared" si="8"/>
        <v>-2</v>
      </c>
      <c r="H26" s="13">
        <f>F26-C26</f>
        <v>-114.70000000000005</v>
      </c>
      <c r="I26" s="25">
        <f>F26/E26</f>
        <v>0.99741535280434224</v>
      </c>
      <c r="J26" s="25">
        <f>F26/C26</f>
        <v>0.8706147772137619</v>
      </c>
      <c r="K26" s="1"/>
      <c r="L26" s="155">
        <f t="shared" si="12"/>
        <v>-114.70000000000005</v>
      </c>
      <c r="M26" s="156">
        <f t="shared" si="13"/>
        <v>-0.12938522278623807</v>
      </c>
    </row>
    <row r="27" spans="1:13" s="53" customFormat="1" ht="15" hidden="1" customHeight="1" x14ac:dyDescent="0.25">
      <c r="A27" s="11" t="s">
        <v>90</v>
      </c>
      <c r="B27" s="8" t="s">
        <v>96</v>
      </c>
      <c r="C27" s="13"/>
      <c r="D27" s="13"/>
      <c r="E27" s="13"/>
      <c r="F27" s="13"/>
      <c r="G27" s="13"/>
      <c r="H27" s="13"/>
      <c r="I27" s="25"/>
      <c r="J27" s="25"/>
      <c r="K27" s="1"/>
      <c r="L27" s="155">
        <f t="shared" si="12"/>
        <v>0</v>
      </c>
      <c r="M27" s="156" t="e">
        <f t="shared" si="13"/>
        <v>#DIV/0!</v>
      </c>
    </row>
    <row r="28" spans="1:13" s="53" customFormat="1" ht="15" customHeight="1" x14ac:dyDescent="0.25">
      <c r="A28" s="11" t="s">
        <v>91</v>
      </c>
      <c r="B28" s="8" t="s">
        <v>97</v>
      </c>
      <c r="C28" s="13">
        <v>412.7</v>
      </c>
      <c r="D28" s="13">
        <v>474.5</v>
      </c>
      <c r="E28" s="13">
        <v>474.5</v>
      </c>
      <c r="F28" s="13">
        <v>453.5</v>
      </c>
      <c r="G28" s="13">
        <f>F28-E28</f>
        <v>-21</v>
      </c>
      <c r="H28" s="13">
        <f>F28-C28</f>
        <v>40.800000000000011</v>
      </c>
      <c r="I28" s="25">
        <f>F28/E28</f>
        <v>0.95574288724973655</v>
      </c>
      <c r="J28" s="25">
        <f>F28/C28</f>
        <v>1.0988611582263146</v>
      </c>
      <c r="K28" s="1"/>
      <c r="L28" s="155">
        <f t="shared" si="12"/>
        <v>40.800000000000011</v>
      </c>
      <c r="M28" s="156">
        <f t="shared" si="13"/>
        <v>9.8861158226314541E-2</v>
      </c>
    </row>
    <row r="29" spans="1:13" s="53" customFormat="1" ht="15" hidden="1" customHeight="1" x14ac:dyDescent="0.25">
      <c r="A29" s="11" t="s">
        <v>92</v>
      </c>
      <c r="B29" s="8" t="s">
        <v>98</v>
      </c>
      <c r="C29" s="13"/>
      <c r="D29" s="13"/>
      <c r="E29" s="13"/>
      <c r="F29" s="13"/>
      <c r="G29" s="13"/>
      <c r="H29" s="13"/>
      <c r="I29" s="25"/>
      <c r="J29" s="25" t="e">
        <f>F29/C29</f>
        <v>#DIV/0!</v>
      </c>
      <c r="K29" s="1"/>
      <c r="L29" s="155">
        <f t="shared" si="12"/>
        <v>0</v>
      </c>
      <c r="M29" s="156" t="e">
        <f t="shared" si="13"/>
        <v>#DIV/0!</v>
      </c>
    </row>
    <row r="30" spans="1:13" s="53" customFormat="1" ht="15" customHeight="1" x14ac:dyDescent="0.25">
      <c r="A30" s="11" t="s">
        <v>99</v>
      </c>
      <c r="B30" s="8" t="s">
        <v>100</v>
      </c>
      <c r="C30" s="13">
        <v>123.9</v>
      </c>
      <c r="D30" s="13">
        <v>2050</v>
      </c>
      <c r="E30" s="13">
        <v>2050</v>
      </c>
      <c r="F30" s="13">
        <v>2049.6</v>
      </c>
      <c r="G30" s="13">
        <f t="shared" ref="G30:G41" si="14">F30-E30</f>
        <v>-0.40000000000009095</v>
      </c>
      <c r="H30" s="13">
        <f t="shared" ref="H30:H41" si="15">F30-C30</f>
        <v>1925.6999999999998</v>
      </c>
      <c r="I30" s="25">
        <f t="shared" ref="I30:I36" si="16">F30/E30</f>
        <v>0.99980487804878049</v>
      </c>
      <c r="J30" s="25">
        <f>F30/C30</f>
        <v>16.542372881355931</v>
      </c>
      <c r="K30" s="1"/>
      <c r="L30" s="155">
        <f t="shared" si="12"/>
        <v>1925.6999999999998</v>
      </c>
      <c r="M30" s="156">
        <f t="shared" si="13"/>
        <v>15.542372881355931</v>
      </c>
    </row>
    <row r="31" spans="1:13" s="53" customFormat="1" ht="15" customHeight="1" x14ac:dyDescent="0.25">
      <c r="A31" s="11" t="s">
        <v>101</v>
      </c>
      <c r="B31" s="8" t="s">
        <v>102</v>
      </c>
      <c r="C31" s="13">
        <v>22357.5</v>
      </c>
      <c r="D31" s="13">
        <v>28667.9</v>
      </c>
      <c r="E31" s="13">
        <v>28696.6</v>
      </c>
      <c r="F31" s="13">
        <v>28365.3</v>
      </c>
      <c r="G31" s="13">
        <f t="shared" si="14"/>
        <v>-331.29999999999927</v>
      </c>
      <c r="H31" s="13">
        <f t="shared" si="15"/>
        <v>6007.7999999999993</v>
      </c>
      <c r="I31" s="25">
        <f t="shared" si="16"/>
        <v>0.98845507830195911</v>
      </c>
      <c r="J31" s="25">
        <f>F31/C31</f>
        <v>1.2687151962428715</v>
      </c>
      <c r="K31" s="1"/>
      <c r="L31" s="155">
        <f t="shared" si="12"/>
        <v>6007.7999999999993</v>
      </c>
      <c r="M31" s="156">
        <f t="shared" si="13"/>
        <v>0.26871519624287149</v>
      </c>
    </row>
    <row r="32" spans="1:13" s="53" customFormat="1" ht="15" customHeight="1" x14ac:dyDescent="0.25">
      <c r="A32" s="11" t="s">
        <v>93</v>
      </c>
      <c r="B32" s="8" t="s">
        <v>103</v>
      </c>
      <c r="C32" s="13"/>
      <c r="D32" s="13">
        <v>8190.2</v>
      </c>
      <c r="E32" s="13">
        <v>1211.0999999999999</v>
      </c>
      <c r="F32" s="13"/>
      <c r="G32" s="13">
        <f t="shared" si="14"/>
        <v>-1211.0999999999999</v>
      </c>
      <c r="H32" s="13">
        <f t="shared" si="15"/>
        <v>0</v>
      </c>
      <c r="I32" s="25">
        <f t="shared" si="16"/>
        <v>0</v>
      </c>
      <c r="J32" s="25"/>
      <c r="K32" s="1"/>
      <c r="L32" s="155">
        <f t="shared" si="12"/>
        <v>0</v>
      </c>
      <c r="M32" s="156" t="e">
        <f t="shared" si="13"/>
        <v>#DIV/0!</v>
      </c>
    </row>
    <row r="33" spans="1:13" s="53" customFormat="1" ht="30" customHeight="1" x14ac:dyDescent="0.25">
      <c r="A33" s="11" t="s">
        <v>94</v>
      </c>
      <c r="B33" s="8" t="s">
        <v>104</v>
      </c>
      <c r="C33" s="13">
        <v>3584</v>
      </c>
      <c r="D33" s="13">
        <v>3371</v>
      </c>
      <c r="E33" s="21">
        <v>2887.4</v>
      </c>
      <c r="F33" s="13">
        <v>1488.9</v>
      </c>
      <c r="G33" s="13">
        <f t="shared" si="14"/>
        <v>-1398.5</v>
      </c>
      <c r="H33" s="13">
        <f t="shared" si="15"/>
        <v>-2095.1</v>
      </c>
      <c r="I33" s="25">
        <f t="shared" si="16"/>
        <v>0.51565422179123088</v>
      </c>
      <c r="J33" s="25">
        <f t="shared" ref="J33:J41" si="17">F33/C33</f>
        <v>0.41542968750000003</v>
      </c>
      <c r="K33" s="1"/>
      <c r="L33" s="155">
        <f t="shared" si="12"/>
        <v>-2095.1</v>
      </c>
      <c r="M33" s="156">
        <f t="shared" si="13"/>
        <v>-0.58457031250000002</v>
      </c>
    </row>
    <row r="34" spans="1:13" s="37" customFormat="1" ht="30" customHeight="1" x14ac:dyDescent="0.25">
      <c r="A34" s="49" t="s">
        <v>105</v>
      </c>
      <c r="B34" s="33" t="s">
        <v>111</v>
      </c>
      <c r="C34" s="34">
        <f>SUM(C35:C37)</f>
        <v>141222.40000000002</v>
      </c>
      <c r="D34" s="34">
        <f>SUM(D35:D37)</f>
        <v>10019</v>
      </c>
      <c r="E34" s="34">
        <f>SUM(E35:E37)</f>
        <v>50489.7</v>
      </c>
      <c r="F34" s="34">
        <f>SUM(F35:F37)</f>
        <v>47730.6</v>
      </c>
      <c r="G34" s="34">
        <f t="shared" si="14"/>
        <v>-2759.0999999999985</v>
      </c>
      <c r="H34" s="34">
        <f t="shared" si="15"/>
        <v>-93491.800000000017</v>
      </c>
      <c r="I34" s="35">
        <f t="shared" si="16"/>
        <v>0.94535321065484645</v>
      </c>
      <c r="J34" s="35">
        <f t="shared" si="17"/>
        <v>0.33798179325659378</v>
      </c>
      <c r="K34" s="36"/>
      <c r="L34" s="155">
        <f t="shared" si="12"/>
        <v>-93491.800000000017</v>
      </c>
      <c r="M34" s="156">
        <f t="shared" si="13"/>
        <v>-0.66201820674340617</v>
      </c>
    </row>
    <row r="35" spans="1:13" s="53" customFormat="1" ht="15" customHeight="1" x14ac:dyDescent="0.25">
      <c r="A35" s="11" t="s">
        <v>106</v>
      </c>
      <c r="B35" s="8" t="s">
        <v>109</v>
      </c>
      <c r="C35" s="13">
        <v>3519.2</v>
      </c>
      <c r="D35" s="13">
        <v>5019</v>
      </c>
      <c r="E35" s="13">
        <v>5016.7</v>
      </c>
      <c r="F35" s="13">
        <v>5016.7</v>
      </c>
      <c r="G35" s="13">
        <f t="shared" si="14"/>
        <v>0</v>
      </c>
      <c r="H35" s="13">
        <f t="shared" si="15"/>
        <v>1497.5</v>
      </c>
      <c r="I35" s="25">
        <f t="shared" si="16"/>
        <v>1</v>
      </c>
      <c r="J35" s="25">
        <f t="shared" si="17"/>
        <v>1.4255228461013867</v>
      </c>
      <c r="K35" s="1"/>
      <c r="L35" s="155">
        <f t="shared" si="12"/>
        <v>1497.5</v>
      </c>
      <c r="M35" s="156">
        <f t="shared" si="13"/>
        <v>0.42552284610138669</v>
      </c>
    </row>
    <row r="36" spans="1:13" s="53" customFormat="1" ht="15" customHeight="1" x14ac:dyDescent="0.25">
      <c r="A36" s="11" t="s">
        <v>107</v>
      </c>
      <c r="B36" s="8" t="s">
        <v>110</v>
      </c>
      <c r="C36" s="13">
        <v>137703.20000000001</v>
      </c>
      <c r="D36" s="13">
        <v>5000</v>
      </c>
      <c r="E36" s="13">
        <v>45473</v>
      </c>
      <c r="F36" s="13">
        <v>42713.9</v>
      </c>
      <c r="G36" s="13">
        <f t="shared" si="14"/>
        <v>-2759.0999999999985</v>
      </c>
      <c r="H36" s="13">
        <f t="shared" si="15"/>
        <v>-94989.300000000017</v>
      </c>
      <c r="I36" s="25">
        <f t="shared" si="16"/>
        <v>0.93932443427968249</v>
      </c>
      <c r="J36" s="25">
        <f t="shared" si="17"/>
        <v>0.31018814377588899</v>
      </c>
      <c r="K36" s="1"/>
      <c r="L36" s="155">
        <f t="shared" si="12"/>
        <v>-94989.300000000017</v>
      </c>
      <c r="M36" s="156">
        <f t="shared" si="13"/>
        <v>-0.68981185622411101</v>
      </c>
    </row>
    <row r="37" spans="1:13" s="53" customFormat="1" ht="15" hidden="1" customHeight="1" x14ac:dyDescent="0.25">
      <c r="A37" s="11" t="s">
        <v>108</v>
      </c>
      <c r="B37" s="8" t="s">
        <v>112</v>
      </c>
      <c r="C37" s="21"/>
      <c r="D37" s="13"/>
      <c r="E37" s="13"/>
      <c r="F37" s="21"/>
      <c r="G37" s="13">
        <f t="shared" si="14"/>
        <v>0</v>
      </c>
      <c r="H37" s="13">
        <f t="shared" si="15"/>
        <v>0</v>
      </c>
      <c r="I37" s="25"/>
      <c r="J37" s="25" t="e">
        <f t="shared" si="17"/>
        <v>#DIV/0!</v>
      </c>
      <c r="K37" s="1"/>
      <c r="L37" s="155">
        <f t="shared" si="12"/>
        <v>0</v>
      </c>
      <c r="M37" s="156" t="e">
        <f t="shared" si="13"/>
        <v>#DIV/0!</v>
      </c>
    </row>
    <row r="38" spans="1:13" s="37" customFormat="1" ht="15" customHeight="1" x14ac:dyDescent="0.25">
      <c r="A38" s="49" t="s">
        <v>113</v>
      </c>
      <c r="B38" s="33" t="s">
        <v>114</v>
      </c>
      <c r="C38" s="34">
        <f>C39</f>
        <v>93</v>
      </c>
      <c r="D38" s="34">
        <f>D39</f>
        <v>203</v>
      </c>
      <c r="E38" s="34">
        <f>E39</f>
        <v>80</v>
      </c>
      <c r="F38" s="34">
        <f>F39</f>
        <v>77.7</v>
      </c>
      <c r="G38" s="34">
        <f t="shared" si="14"/>
        <v>-2.2999999999999972</v>
      </c>
      <c r="H38" s="34">
        <f t="shared" si="15"/>
        <v>-15.299999999999997</v>
      </c>
      <c r="I38" s="35">
        <f>F38/E38</f>
        <v>0.97125000000000006</v>
      </c>
      <c r="J38" s="35">
        <f t="shared" si="17"/>
        <v>0.83548387096774201</v>
      </c>
      <c r="K38" s="36"/>
      <c r="L38" s="155">
        <f t="shared" si="12"/>
        <v>-15.299999999999997</v>
      </c>
      <c r="M38" s="156">
        <f t="shared" si="13"/>
        <v>-0.16451612903225804</v>
      </c>
    </row>
    <row r="39" spans="1:13" s="53" customFormat="1" ht="30" customHeight="1" x14ac:dyDescent="0.25">
      <c r="A39" s="11" t="s">
        <v>115</v>
      </c>
      <c r="B39" s="8" t="s">
        <v>116</v>
      </c>
      <c r="C39" s="13">
        <v>93</v>
      </c>
      <c r="D39" s="13">
        <v>203</v>
      </c>
      <c r="E39" s="13">
        <v>80</v>
      </c>
      <c r="F39" s="13">
        <v>77.7</v>
      </c>
      <c r="G39" s="13">
        <f t="shared" si="14"/>
        <v>-2.2999999999999972</v>
      </c>
      <c r="H39" s="13">
        <f t="shared" si="15"/>
        <v>-15.299999999999997</v>
      </c>
      <c r="I39" s="25">
        <f>F39/E39</f>
        <v>0.97125000000000006</v>
      </c>
      <c r="J39" s="25">
        <f t="shared" si="17"/>
        <v>0.83548387096774201</v>
      </c>
      <c r="K39" s="1"/>
      <c r="L39" s="155">
        <f t="shared" si="12"/>
        <v>-15.299999999999997</v>
      </c>
      <c r="M39" s="156">
        <f t="shared" si="13"/>
        <v>-0.16451612903225804</v>
      </c>
    </row>
    <row r="40" spans="1:13" s="37" customFormat="1" ht="15" customHeight="1" x14ac:dyDescent="0.25">
      <c r="A40" s="49" t="s">
        <v>117</v>
      </c>
      <c r="B40" s="33" t="s">
        <v>118</v>
      </c>
      <c r="C40" s="34">
        <f>C41+C42+C44+C45</f>
        <v>322854.59999999998</v>
      </c>
      <c r="D40" s="34">
        <f>D41+D42+D44+D45-0.1</f>
        <v>352175.5</v>
      </c>
      <c r="E40" s="34">
        <f>E41+E42+E44+E45</f>
        <v>383373.5</v>
      </c>
      <c r="F40" s="34">
        <f>F41+F42+F44+F45</f>
        <v>344833</v>
      </c>
      <c r="G40" s="34">
        <f t="shared" si="14"/>
        <v>-38540.5</v>
      </c>
      <c r="H40" s="34">
        <f t="shared" si="15"/>
        <v>21978.400000000023</v>
      </c>
      <c r="I40" s="35">
        <f>F40/E40</f>
        <v>0.89947009900266972</v>
      </c>
      <c r="J40" s="35">
        <f t="shared" si="17"/>
        <v>1.0680752264331994</v>
      </c>
      <c r="K40" s="36"/>
      <c r="L40" s="155">
        <f t="shared" si="12"/>
        <v>21978.400000000023</v>
      </c>
      <c r="M40" s="156">
        <f t="shared" si="13"/>
        <v>6.8075226433199423E-2</v>
      </c>
    </row>
    <row r="41" spans="1:13" s="53" customFormat="1" ht="15" customHeight="1" x14ac:dyDescent="0.25">
      <c r="A41" s="11" t="s">
        <v>119</v>
      </c>
      <c r="B41" s="8" t="s">
        <v>123</v>
      </c>
      <c r="C41" s="13">
        <v>64286.8</v>
      </c>
      <c r="D41" s="13">
        <v>81855.199999999997</v>
      </c>
      <c r="E41" s="21">
        <v>84930.7</v>
      </c>
      <c r="F41" s="21">
        <v>73863.399999999994</v>
      </c>
      <c r="G41" s="13">
        <f t="shared" si="14"/>
        <v>-11067.300000000003</v>
      </c>
      <c r="H41" s="13">
        <f t="shared" si="15"/>
        <v>9576.5999999999913</v>
      </c>
      <c r="I41" s="25">
        <f>F41/E41</f>
        <v>0.86969022979911859</v>
      </c>
      <c r="J41" s="25">
        <f t="shared" si="17"/>
        <v>1.1489668174493051</v>
      </c>
      <c r="K41" s="1"/>
      <c r="L41" s="155">
        <f t="shared" si="12"/>
        <v>9576.5999999999913</v>
      </c>
      <c r="M41" s="156">
        <f t="shared" si="13"/>
        <v>0.14896681744930515</v>
      </c>
    </row>
    <row r="42" spans="1:13" s="53" customFormat="1" ht="15" customHeight="1" x14ac:dyDescent="0.25">
      <c r="A42" s="11" t="s">
        <v>120</v>
      </c>
      <c r="B42" s="8" t="s">
        <v>124</v>
      </c>
      <c r="C42" s="21">
        <v>233361.2</v>
      </c>
      <c r="D42" s="13">
        <v>242288.9</v>
      </c>
      <c r="E42" s="21">
        <v>267120.40000000002</v>
      </c>
      <c r="F42" s="21">
        <v>241095.1</v>
      </c>
      <c r="G42" s="13">
        <f t="shared" ref="G42:G59" si="18">F42-E42</f>
        <v>-26025.300000000017</v>
      </c>
      <c r="H42" s="13">
        <f t="shared" ref="H42:H59" si="19">F42-C42</f>
        <v>7733.8999999999942</v>
      </c>
      <c r="I42" s="25">
        <f t="shared" ref="I42:I59" si="20">F42/E42</f>
        <v>0.90257090061260759</v>
      </c>
      <c r="J42" s="25">
        <f t="shared" ref="J42:J59" si="21">F42/C42</f>
        <v>1.033141327692864</v>
      </c>
      <c r="K42" s="1"/>
      <c r="L42" s="155">
        <f t="shared" ref="L42:L59" si="22">F42-C42</f>
        <v>7733.8999999999942</v>
      </c>
      <c r="M42" s="156">
        <f t="shared" ref="M42:M59" si="23">L42/C42</f>
        <v>3.3141327692864084E-2</v>
      </c>
    </row>
    <row r="43" spans="1:13" s="17" customFormat="1" ht="15" customHeight="1" x14ac:dyDescent="0.2">
      <c r="A43" s="128">
        <v>1</v>
      </c>
      <c r="B43" s="128">
        <v>2</v>
      </c>
      <c r="C43" s="128">
        <v>3</v>
      </c>
      <c r="D43" s="128">
        <v>4</v>
      </c>
      <c r="E43" s="18">
        <v>5</v>
      </c>
      <c r="F43" s="18">
        <v>6</v>
      </c>
      <c r="G43" s="18">
        <v>7</v>
      </c>
      <c r="H43" s="18">
        <v>8</v>
      </c>
      <c r="I43" s="18">
        <v>9</v>
      </c>
      <c r="J43" s="18">
        <v>10</v>
      </c>
      <c r="K43" s="16"/>
      <c r="L43" s="16"/>
      <c r="M43" s="16"/>
    </row>
    <row r="44" spans="1:13" s="53" customFormat="1" ht="30" customHeight="1" x14ac:dyDescent="0.25">
      <c r="A44" s="11" t="s">
        <v>121</v>
      </c>
      <c r="B44" s="8" t="s">
        <v>125</v>
      </c>
      <c r="C44" s="21">
        <v>3805.8</v>
      </c>
      <c r="D44" s="13">
        <v>4660.1000000000004</v>
      </c>
      <c r="E44" s="21">
        <v>4541.3</v>
      </c>
      <c r="F44" s="21">
        <v>4512.7</v>
      </c>
      <c r="G44" s="13">
        <f t="shared" si="18"/>
        <v>-28.600000000000364</v>
      </c>
      <c r="H44" s="13">
        <f t="shared" si="19"/>
        <v>706.89999999999964</v>
      </c>
      <c r="I44" s="25">
        <f t="shared" si="20"/>
        <v>0.99370224385087957</v>
      </c>
      <c r="J44" s="25">
        <f t="shared" si="21"/>
        <v>1.1857428136002941</v>
      </c>
      <c r="K44" s="1"/>
      <c r="L44" s="155">
        <f t="shared" si="22"/>
        <v>706.89999999999964</v>
      </c>
      <c r="M44" s="156">
        <f t="shared" si="23"/>
        <v>0.18574281360029418</v>
      </c>
    </row>
    <row r="45" spans="1:13" s="53" customFormat="1" ht="15" customHeight="1" x14ac:dyDescent="0.25">
      <c r="A45" s="11" t="s">
        <v>122</v>
      </c>
      <c r="B45" s="8" t="s">
        <v>126</v>
      </c>
      <c r="C45" s="21">
        <v>21400.799999999999</v>
      </c>
      <c r="D45" s="13">
        <v>23371.4</v>
      </c>
      <c r="E45" s="21">
        <v>26781.1</v>
      </c>
      <c r="F45" s="21">
        <v>25361.8</v>
      </c>
      <c r="G45" s="13">
        <f t="shared" si="18"/>
        <v>-1419.2999999999993</v>
      </c>
      <c r="H45" s="13">
        <f t="shared" si="19"/>
        <v>3961</v>
      </c>
      <c r="I45" s="25">
        <f t="shared" si="20"/>
        <v>0.94700367049897127</v>
      </c>
      <c r="J45" s="25">
        <f t="shared" si="21"/>
        <v>1.1850865388209786</v>
      </c>
      <c r="K45" s="1"/>
      <c r="L45" s="155">
        <f t="shared" si="22"/>
        <v>3961</v>
      </c>
      <c r="M45" s="156">
        <f t="shared" si="23"/>
        <v>0.18508653882097867</v>
      </c>
    </row>
    <row r="46" spans="1:13" s="37" customFormat="1" ht="30" customHeight="1" x14ac:dyDescent="0.25">
      <c r="A46" s="49" t="s">
        <v>127</v>
      </c>
      <c r="B46" s="33" t="s">
        <v>129</v>
      </c>
      <c r="C46" s="34">
        <f>C47</f>
        <v>20842.3</v>
      </c>
      <c r="D46" s="34">
        <f>D47</f>
        <v>23901.7</v>
      </c>
      <c r="E46" s="120">
        <f>E47</f>
        <v>27728.6</v>
      </c>
      <c r="F46" s="120">
        <f>F47</f>
        <v>23223.5</v>
      </c>
      <c r="G46" s="34">
        <f t="shared" si="18"/>
        <v>-4505.0999999999985</v>
      </c>
      <c r="H46" s="34">
        <f t="shared" si="19"/>
        <v>2381.2000000000007</v>
      </c>
      <c r="I46" s="35">
        <f t="shared" si="20"/>
        <v>0.83752876091832984</v>
      </c>
      <c r="J46" s="35">
        <f t="shared" si="21"/>
        <v>1.1142484274768141</v>
      </c>
      <c r="K46" s="36"/>
      <c r="L46" s="155">
        <f t="shared" si="22"/>
        <v>2381.2000000000007</v>
      </c>
      <c r="M46" s="156">
        <f t="shared" si="23"/>
        <v>0.11424842747681402</v>
      </c>
    </row>
    <row r="47" spans="1:13" s="53" customFormat="1" ht="15" customHeight="1" x14ac:dyDescent="0.25">
      <c r="A47" s="11" t="s">
        <v>128</v>
      </c>
      <c r="B47" s="8" t="s">
        <v>130</v>
      </c>
      <c r="C47" s="21">
        <v>20842.3</v>
      </c>
      <c r="D47" s="13">
        <v>23901.7</v>
      </c>
      <c r="E47" s="21">
        <v>27728.6</v>
      </c>
      <c r="F47" s="21">
        <v>23223.5</v>
      </c>
      <c r="G47" s="13">
        <f t="shared" si="18"/>
        <v>-4505.0999999999985</v>
      </c>
      <c r="H47" s="13">
        <f t="shared" si="19"/>
        <v>2381.2000000000007</v>
      </c>
      <c r="I47" s="25">
        <f t="shared" si="20"/>
        <v>0.83752876091832984</v>
      </c>
      <c r="J47" s="25">
        <f t="shared" si="21"/>
        <v>1.1142484274768141</v>
      </c>
      <c r="K47" s="1"/>
      <c r="L47" s="155">
        <f t="shared" si="22"/>
        <v>2381.2000000000007</v>
      </c>
      <c r="M47" s="156">
        <f t="shared" si="23"/>
        <v>0.11424842747681402</v>
      </c>
    </row>
    <row r="48" spans="1:13" s="37" customFormat="1" ht="15" customHeight="1" x14ac:dyDescent="0.25">
      <c r="A48" s="49" t="s">
        <v>132</v>
      </c>
      <c r="B48" s="33" t="s">
        <v>131</v>
      </c>
      <c r="C48" s="34">
        <f>SUM(C49:C53)</f>
        <v>57068.799999999996</v>
      </c>
      <c r="D48" s="34">
        <f>SUM(D49:D53)</f>
        <v>62382.3</v>
      </c>
      <c r="E48" s="34">
        <f>SUM(E49:E53)</f>
        <v>60983.8</v>
      </c>
      <c r="F48" s="34">
        <f>SUM(F49:F53)</f>
        <v>59273.3</v>
      </c>
      <c r="G48" s="34">
        <f t="shared" si="18"/>
        <v>-1710.5</v>
      </c>
      <c r="H48" s="34">
        <f t="shared" si="19"/>
        <v>2204.5000000000073</v>
      </c>
      <c r="I48" s="35">
        <f t="shared" si="20"/>
        <v>0.97195156746545808</v>
      </c>
      <c r="J48" s="35">
        <f t="shared" si="21"/>
        <v>1.0386288129415724</v>
      </c>
      <c r="K48" s="36"/>
      <c r="L48" s="155">
        <f t="shared" si="22"/>
        <v>2204.5000000000073</v>
      </c>
      <c r="M48" s="156">
        <f t="shared" si="23"/>
        <v>3.8628812941572409E-2</v>
      </c>
    </row>
    <row r="49" spans="1:13" s="53" customFormat="1" ht="15" customHeight="1" x14ac:dyDescent="0.25">
      <c r="A49" s="11" t="s">
        <v>133</v>
      </c>
      <c r="B49" s="8" t="s">
        <v>138</v>
      </c>
      <c r="C49" s="21">
        <v>935.1</v>
      </c>
      <c r="D49" s="13">
        <v>1646.9</v>
      </c>
      <c r="E49" s="13">
        <v>970.6</v>
      </c>
      <c r="F49" s="21">
        <v>969.1</v>
      </c>
      <c r="G49" s="13">
        <f t="shared" si="18"/>
        <v>-1.5</v>
      </c>
      <c r="H49" s="13">
        <f t="shared" si="19"/>
        <v>34</v>
      </c>
      <c r="I49" s="25">
        <f t="shared" si="20"/>
        <v>0.99845456418710077</v>
      </c>
      <c r="J49" s="25">
        <f t="shared" si="21"/>
        <v>1.0363597476205753</v>
      </c>
      <c r="K49" s="1"/>
      <c r="L49" s="155">
        <f t="shared" si="22"/>
        <v>34</v>
      </c>
      <c r="M49" s="156">
        <f t="shared" si="23"/>
        <v>3.6359747620575339E-2</v>
      </c>
    </row>
    <row r="50" spans="1:13" s="53" customFormat="1" ht="15" customHeight="1" x14ac:dyDescent="0.25">
      <c r="A50" s="11" t="s">
        <v>134</v>
      </c>
      <c r="B50" s="8" t="s">
        <v>139</v>
      </c>
      <c r="C50" s="13">
        <v>17201.8</v>
      </c>
      <c r="D50" s="13">
        <v>25115.200000000001</v>
      </c>
      <c r="E50" s="13">
        <v>23417.1</v>
      </c>
      <c r="F50" s="13">
        <v>23403.200000000001</v>
      </c>
      <c r="G50" s="13">
        <f t="shared" si="18"/>
        <v>-13.899999999997817</v>
      </c>
      <c r="H50" s="13">
        <f t="shared" si="19"/>
        <v>6201.4000000000015</v>
      </c>
      <c r="I50" s="25">
        <f t="shared" si="20"/>
        <v>0.99940641667841035</v>
      </c>
      <c r="J50" s="25">
        <f t="shared" si="21"/>
        <v>1.3605087839644689</v>
      </c>
      <c r="K50" s="1"/>
      <c r="L50" s="155">
        <f t="shared" si="22"/>
        <v>6201.4000000000015</v>
      </c>
      <c r="M50" s="156">
        <f t="shared" si="23"/>
        <v>0.36050878396446895</v>
      </c>
    </row>
    <row r="51" spans="1:13" s="53" customFormat="1" ht="15" customHeight="1" x14ac:dyDescent="0.25">
      <c r="A51" s="11" t="s">
        <v>135</v>
      </c>
      <c r="B51" s="8" t="s">
        <v>141</v>
      </c>
      <c r="C51" s="13">
        <v>8896.1</v>
      </c>
      <c r="D51" s="13">
        <v>2945</v>
      </c>
      <c r="E51" s="13">
        <v>4740.3999999999996</v>
      </c>
      <c r="F51" s="13">
        <v>3397.9</v>
      </c>
      <c r="G51" s="13">
        <f t="shared" si="18"/>
        <v>-1342.4999999999995</v>
      </c>
      <c r="H51" s="13">
        <f t="shared" si="19"/>
        <v>-5498.2000000000007</v>
      </c>
      <c r="I51" s="25">
        <f t="shared" si="20"/>
        <v>0.71679605096616328</v>
      </c>
      <c r="J51" s="25">
        <f t="shared" si="21"/>
        <v>0.38195388990681312</v>
      </c>
      <c r="K51" s="1"/>
      <c r="L51" s="155">
        <f t="shared" si="22"/>
        <v>-5498.2000000000007</v>
      </c>
      <c r="M51" s="156">
        <f t="shared" si="23"/>
        <v>-0.618046110093187</v>
      </c>
    </row>
    <row r="52" spans="1:13" s="53" customFormat="1" ht="15" customHeight="1" x14ac:dyDescent="0.25">
      <c r="A52" s="11" t="s">
        <v>136</v>
      </c>
      <c r="B52" s="8" t="s">
        <v>140</v>
      </c>
      <c r="C52" s="13">
        <v>29560.7</v>
      </c>
      <c r="D52" s="13">
        <v>31708.7</v>
      </c>
      <c r="E52" s="13">
        <v>31020.2</v>
      </c>
      <c r="F52" s="13">
        <v>30755.8</v>
      </c>
      <c r="G52" s="13">
        <f t="shared" si="18"/>
        <v>-264.40000000000146</v>
      </c>
      <c r="H52" s="13">
        <f t="shared" si="19"/>
        <v>1195.0999999999985</v>
      </c>
      <c r="I52" s="25">
        <f t="shared" si="20"/>
        <v>0.99147652175034329</v>
      </c>
      <c r="J52" s="25">
        <f t="shared" si="21"/>
        <v>1.0404286772640701</v>
      </c>
      <c r="K52" s="1"/>
      <c r="L52" s="155">
        <f t="shared" si="22"/>
        <v>1195.0999999999985</v>
      </c>
      <c r="M52" s="156">
        <f t="shared" si="23"/>
        <v>4.0428677264070151E-2</v>
      </c>
    </row>
    <row r="53" spans="1:13" s="53" customFormat="1" ht="30" customHeight="1" x14ac:dyDescent="0.25">
      <c r="A53" s="11" t="s">
        <v>137</v>
      </c>
      <c r="B53" s="8" t="s">
        <v>142</v>
      </c>
      <c r="C53" s="21">
        <v>475.1</v>
      </c>
      <c r="D53" s="13">
        <v>966.5</v>
      </c>
      <c r="E53" s="13">
        <v>835.5</v>
      </c>
      <c r="F53" s="21">
        <v>747.3</v>
      </c>
      <c r="G53" s="13">
        <f t="shared" si="18"/>
        <v>-88.200000000000045</v>
      </c>
      <c r="H53" s="13">
        <f t="shared" si="19"/>
        <v>272.19999999999993</v>
      </c>
      <c r="I53" s="25">
        <f t="shared" si="20"/>
        <v>0.89443447037701973</v>
      </c>
      <c r="J53" s="25">
        <f t="shared" si="21"/>
        <v>1.5729320143127761</v>
      </c>
      <c r="K53" s="1"/>
      <c r="L53" s="155">
        <f t="shared" si="22"/>
        <v>272.19999999999993</v>
      </c>
      <c r="M53" s="156">
        <f t="shared" si="23"/>
        <v>0.57293201431277607</v>
      </c>
    </row>
    <row r="54" spans="1:13" s="37" customFormat="1" ht="30" customHeight="1" x14ac:dyDescent="0.25">
      <c r="A54" s="49" t="s">
        <v>143</v>
      </c>
      <c r="B54" s="33" t="s">
        <v>146</v>
      </c>
      <c r="C54" s="34">
        <f>SUM(C55:C56)</f>
        <v>3575.2</v>
      </c>
      <c r="D54" s="34">
        <f>SUM(D55:D56)</f>
        <v>760.3</v>
      </c>
      <c r="E54" s="34">
        <f>SUM(E55:E56)</f>
        <v>760.3</v>
      </c>
      <c r="F54" s="34">
        <f>SUM(F55:F56)</f>
        <v>759.5</v>
      </c>
      <c r="G54" s="34">
        <f t="shared" si="18"/>
        <v>-0.79999999999995453</v>
      </c>
      <c r="H54" s="34">
        <f t="shared" si="19"/>
        <v>-2815.7</v>
      </c>
      <c r="I54" s="35">
        <f t="shared" si="20"/>
        <v>0.99894778376956472</v>
      </c>
      <c r="J54" s="35">
        <f t="shared" si="21"/>
        <v>0.21243566793466101</v>
      </c>
      <c r="K54" s="36"/>
      <c r="L54" s="155">
        <f t="shared" si="22"/>
        <v>-2815.7</v>
      </c>
      <c r="M54" s="156">
        <f t="shared" si="23"/>
        <v>-0.78756433206533905</v>
      </c>
    </row>
    <row r="55" spans="1:13" s="53" customFormat="1" ht="15" customHeight="1" x14ac:dyDescent="0.25">
      <c r="A55" s="28" t="s">
        <v>144</v>
      </c>
      <c r="B55" s="56" t="s">
        <v>147</v>
      </c>
      <c r="C55" s="55">
        <v>2920.2</v>
      </c>
      <c r="D55" s="55"/>
      <c r="E55" s="55"/>
      <c r="F55" s="55"/>
      <c r="G55" s="13"/>
      <c r="H55" s="13"/>
      <c r="I55" s="25"/>
      <c r="J55" s="25"/>
      <c r="K55" s="1"/>
      <c r="L55" s="155">
        <f t="shared" si="22"/>
        <v>-2920.2</v>
      </c>
      <c r="M55" s="156">
        <f t="shared" si="23"/>
        <v>-1</v>
      </c>
    </row>
    <row r="56" spans="1:13" s="53" customFormat="1" ht="15" customHeight="1" x14ac:dyDescent="0.25">
      <c r="A56" s="28" t="s">
        <v>145</v>
      </c>
      <c r="B56" s="56" t="s">
        <v>148</v>
      </c>
      <c r="C56" s="55">
        <v>655</v>
      </c>
      <c r="D56" s="55">
        <v>760.3</v>
      </c>
      <c r="E56" s="55">
        <v>760.3</v>
      </c>
      <c r="F56" s="55">
        <v>759.5</v>
      </c>
      <c r="G56" s="13">
        <f t="shared" si="18"/>
        <v>-0.79999999999995453</v>
      </c>
      <c r="H56" s="13">
        <f t="shared" si="19"/>
        <v>104.5</v>
      </c>
      <c r="I56" s="25">
        <f t="shared" si="20"/>
        <v>0.99894778376956472</v>
      </c>
      <c r="J56" s="25">
        <f t="shared" si="21"/>
        <v>1.1595419847328243</v>
      </c>
      <c r="K56" s="1"/>
      <c r="L56" s="155">
        <f t="shared" si="22"/>
        <v>104.5</v>
      </c>
      <c r="M56" s="156">
        <f t="shared" si="23"/>
        <v>0.15954198473282444</v>
      </c>
    </row>
    <row r="57" spans="1:13" s="37" customFormat="1" ht="75" customHeight="1" x14ac:dyDescent="0.25">
      <c r="A57" s="49" t="s">
        <v>149</v>
      </c>
      <c r="B57" s="33" t="s">
        <v>153</v>
      </c>
      <c r="C57" s="34">
        <f>SUM(C58:C59)</f>
        <v>97613.7</v>
      </c>
      <c r="D57" s="34">
        <f>SUM(D58:D59)</f>
        <v>81411</v>
      </c>
      <c r="E57" s="34">
        <f>SUM(E58:E59)</f>
        <v>84079.8</v>
      </c>
      <c r="F57" s="34">
        <f>SUM(F58:F59)</f>
        <v>84079.8</v>
      </c>
      <c r="G57" s="34">
        <f t="shared" si="18"/>
        <v>0</v>
      </c>
      <c r="H57" s="34">
        <f t="shared" si="19"/>
        <v>-13533.899999999994</v>
      </c>
      <c r="I57" s="35">
        <f t="shared" si="20"/>
        <v>1</v>
      </c>
      <c r="J57" s="35">
        <f t="shared" si="21"/>
        <v>0.86135245360026313</v>
      </c>
      <c r="K57" s="36"/>
      <c r="L57" s="155">
        <f t="shared" si="22"/>
        <v>-13533.899999999994</v>
      </c>
      <c r="M57" s="156">
        <f t="shared" si="23"/>
        <v>-0.13864754639973687</v>
      </c>
    </row>
    <row r="58" spans="1:13" s="53" customFormat="1" ht="45" customHeight="1" x14ac:dyDescent="0.25">
      <c r="A58" s="28" t="s">
        <v>150</v>
      </c>
      <c r="B58" s="56" t="s">
        <v>152</v>
      </c>
      <c r="C58" s="55">
        <v>82553.899999999994</v>
      </c>
      <c r="D58" s="55">
        <v>79067.3</v>
      </c>
      <c r="E58" s="55">
        <v>79067.3</v>
      </c>
      <c r="F58" s="55">
        <v>79067.3</v>
      </c>
      <c r="G58" s="13">
        <f t="shared" si="18"/>
        <v>0</v>
      </c>
      <c r="H58" s="13">
        <f t="shared" si="19"/>
        <v>-3486.5999999999913</v>
      </c>
      <c r="I58" s="25">
        <f t="shared" si="20"/>
        <v>1</v>
      </c>
      <c r="J58" s="25">
        <f t="shared" si="21"/>
        <v>0.95776577484528302</v>
      </c>
      <c r="K58" s="1"/>
      <c r="L58" s="155">
        <f t="shared" si="22"/>
        <v>-3486.5999999999913</v>
      </c>
      <c r="M58" s="156">
        <f t="shared" si="23"/>
        <v>-4.2234225154716996E-2</v>
      </c>
    </row>
    <row r="59" spans="1:13" s="53" customFormat="1" ht="30" customHeight="1" x14ac:dyDescent="0.25">
      <c r="A59" s="28" t="s">
        <v>151</v>
      </c>
      <c r="B59" s="56" t="s">
        <v>154</v>
      </c>
      <c r="C59" s="55">
        <v>15059.8</v>
      </c>
      <c r="D59" s="55">
        <v>2343.6999999999998</v>
      </c>
      <c r="E59" s="55">
        <v>5012.5</v>
      </c>
      <c r="F59" s="55">
        <v>5012.5</v>
      </c>
      <c r="G59" s="13">
        <f t="shared" si="18"/>
        <v>0</v>
      </c>
      <c r="H59" s="13">
        <f t="shared" si="19"/>
        <v>-10047.299999999999</v>
      </c>
      <c r="I59" s="25">
        <f t="shared" si="20"/>
        <v>1</v>
      </c>
      <c r="J59" s="25">
        <f t="shared" si="21"/>
        <v>0.33283974554774964</v>
      </c>
      <c r="K59" s="1"/>
      <c r="L59" s="155">
        <f t="shared" si="22"/>
        <v>-10047.299999999999</v>
      </c>
      <c r="M59" s="156">
        <f t="shared" si="23"/>
        <v>-0.66716025445225036</v>
      </c>
    </row>
  </sheetData>
  <mergeCells count="3">
    <mergeCell ref="A3:J3"/>
    <mergeCell ref="H5:J5"/>
    <mergeCell ref="G1:J1"/>
  </mergeCells>
  <pageMargins left="0.59055118110236227" right="0.59055118110236227" top="0.78740157480314965" bottom="0.59055118110236227" header="0.31496062992125984" footer="0.31496062992125984"/>
  <pageSetup paperSize="9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/>
  </sheetViews>
  <sheetFormatPr defaultRowHeight="15" x14ac:dyDescent="0.25"/>
  <cols>
    <col min="1" max="1" width="11.7109375" style="52" customWidth="1"/>
    <col min="2" max="2" width="11.7109375" hidden="1" customWidth="1"/>
    <col min="3" max="4" width="14.7109375" customWidth="1"/>
    <col min="5" max="5" width="13.7109375" style="141" customWidth="1"/>
    <col min="6" max="6" width="12.7109375" customWidth="1"/>
    <col min="7" max="7" width="10.7109375" hidden="1" customWidth="1"/>
    <col min="8" max="8" width="10.28515625" hidden="1" customWidth="1"/>
    <col min="9" max="10" width="10.7109375" customWidth="1"/>
  </cols>
  <sheetData>
    <row r="1" spans="1:10" ht="15.75" customHeight="1" x14ac:dyDescent="0.25">
      <c r="A1" s="20"/>
      <c r="B1" s="1"/>
      <c r="C1" s="1"/>
      <c r="D1" s="1"/>
      <c r="E1" s="179" t="s">
        <v>277</v>
      </c>
      <c r="F1" s="179"/>
      <c r="G1" s="179"/>
      <c r="H1" s="179"/>
      <c r="I1" s="1"/>
      <c r="J1" s="1"/>
    </row>
    <row r="2" spans="1:10" ht="15.75" customHeight="1" x14ac:dyDescent="0.25">
      <c r="A2" s="20"/>
      <c r="B2" s="1"/>
      <c r="C2" s="1"/>
      <c r="D2" s="1"/>
      <c r="E2" s="137"/>
      <c r="F2" s="86"/>
      <c r="G2" s="79"/>
      <c r="H2" s="79"/>
      <c r="I2" s="1"/>
      <c r="J2" s="1"/>
    </row>
    <row r="3" spans="1:10" ht="15.75" customHeight="1" x14ac:dyDescent="0.25">
      <c r="A3" s="20"/>
      <c r="B3" s="1"/>
      <c r="C3" s="1"/>
      <c r="D3" s="1"/>
      <c r="E3" s="137"/>
      <c r="F3" s="86"/>
      <c r="G3" s="79"/>
      <c r="H3" s="79"/>
      <c r="I3" s="1"/>
      <c r="J3" s="1"/>
    </row>
    <row r="4" spans="1:10" ht="15.75" customHeight="1" x14ac:dyDescent="0.25">
      <c r="A4" s="20"/>
      <c r="B4" s="1"/>
      <c r="C4" s="1"/>
      <c r="D4" s="1"/>
      <c r="E4" s="137"/>
      <c r="F4" s="1"/>
      <c r="G4" s="1"/>
      <c r="H4" s="1"/>
      <c r="I4" s="1"/>
      <c r="J4" s="1"/>
    </row>
    <row r="5" spans="1:10" ht="36" customHeight="1" x14ac:dyDescent="0.25">
      <c r="A5" s="180" t="s">
        <v>222</v>
      </c>
      <c r="B5" s="180"/>
      <c r="C5" s="180"/>
      <c r="D5" s="180"/>
      <c r="E5" s="180"/>
      <c r="F5" s="180"/>
      <c r="G5" s="180"/>
      <c r="H5" s="180"/>
      <c r="I5" s="1"/>
      <c r="J5" s="1"/>
    </row>
    <row r="6" spans="1:10" ht="9" customHeight="1" x14ac:dyDescent="0.25">
      <c r="A6" s="20"/>
      <c r="B6" s="1"/>
      <c r="C6" s="1"/>
      <c r="D6" s="1"/>
      <c r="E6" s="137"/>
      <c r="F6" s="1"/>
      <c r="G6" s="1"/>
      <c r="H6" s="1"/>
      <c r="I6" s="1"/>
      <c r="J6" s="1"/>
    </row>
    <row r="7" spans="1:10" s="3" customFormat="1" ht="20.100000000000001" customHeight="1" x14ac:dyDescent="0.2">
      <c r="A7" s="50"/>
      <c r="B7" s="2"/>
      <c r="C7" s="2"/>
      <c r="D7" s="2"/>
      <c r="E7" s="138"/>
      <c r="F7" s="2"/>
      <c r="G7" s="178" t="s">
        <v>184</v>
      </c>
      <c r="H7" s="178"/>
      <c r="I7" s="2"/>
      <c r="J7" s="2"/>
    </row>
    <row r="8" spans="1:10" s="17" customFormat="1" ht="75" customHeight="1" x14ac:dyDescent="0.2">
      <c r="A8" s="64" t="s">
        <v>166</v>
      </c>
      <c r="B8" s="80" t="s">
        <v>195</v>
      </c>
      <c r="C8" s="64" t="s">
        <v>223</v>
      </c>
      <c r="D8" s="64" t="s">
        <v>208</v>
      </c>
      <c r="E8" s="18" t="s">
        <v>255</v>
      </c>
      <c r="F8" s="18" t="s">
        <v>210</v>
      </c>
      <c r="G8" s="18" t="s">
        <v>194</v>
      </c>
      <c r="H8" s="18" t="s">
        <v>211</v>
      </c>
      <c r="I8" s="16"/>
      <c r="J8" s="16"/>
    </row>
    <row r="9" spans="1:10" s="17" customFormat="1" ht="15" customHeight="1" x14ac:dyDescent="0.2">
      <c r="A9" s="64">
        <v>1</v>
      </c>
      <c r="B9" s="64">
        <v>2</v>
      </c>
      <c r="C9" s="18">
        <v>2</v>
      </c>
      <c r="D9" s="18">
        <v>3</v>
      </c>
      <c r="E9" s="139">
        <v>4</v>
      </c>
      <c r="F9" s="18">
        <v>5</v>
      </c>
      <c r="G9" s="18">
        <v>6</v>
      </c>
      <c r="H9" s="18">
        <v>8</v>
      </c>
      <c r="I9" s="16"/>
      <c r="J9" s="16"/>
    </row>
    <row r="10" spans="1:10" s="53" customFormat="1" ht="24.95" customHeight="1" x14ac:dyDescent="0.25">
      <c r="A10" s="11" t="s">
        <v>167</v>
      </c>
      <c r="B10" s="73">
        <f>199503591.79/1000</f>
        <v>199503.59179000001</v>
      </c>
      <c r="C10" s="135">
        <f>258812674.33/1000</f>
        <v>258812.67433000001</v>
      </c>
      <c r="D10" s="135">
        <f>241120890.79/1000</f>
        <v>241120.89079</v>
      </c>
      <c r="E10" s="140">
        <f>D10-C10</f>
        <v>-17691.783540000004</v>
      </c>
      <c r="F10" s="142">
        <f>D10/C10</f>
        <v>0.93164251485828686</v>
      </c>
      <c r="G10" s="66">
        <f>D10-B10</f>
        <v>41617.298999999999</v>
      </c>
      <c r="H10" s="68">
        <f t="shared" ref="H10:H29" si="0">D10/B10</f>
        <v>1.208604259334874</v>
      </c>
      <c r="I10" s="1"/>
      <c r="J10" s="1"/>
    </row>
    <row r="11" spans="1:10" s="53" customFormat="1" ht="24.95" customHeight="1" x14ac:dyDescent="0.25">
      <c r="A11" s="11" t="s">
        <v>168</v>
      </c>
      <c r="B11" s="73">
        <f>107600/1000</f>
        <v>107.6</v>
      </c>
      <c r="C11" s="135">
        <f>598207.55/1000</f>
        <v>598.20755000000008</v>
      </c>
      <c r="D11" s="135">
        <f>553648.15/1000</f>
        <v>553.64814999999999</v>
      </c>
      <c r="E11" s="140">
        <f t="shared" ref="E11:E27" si="1">D11-C11</f>
        <v>-44.559400000000096</v>
      </c>
      <c r="F11" s="142">
        <f t="shared" ref="F11:F27" si="2">D11/C11</f>
        <v>0.9255118060612908</v>
      </c>
      <c r="G11" s="66">
        <f t="shared" ref="G11:G27" si="3">D11-B11</f>
        <v>446.04814999999996</v>
      </c>
      <c r="H11" s="68">
        <f t="shared" si="0"/>
        <v>5.1454289033457252</v>
      </c>
      <c r="I11" s="1"/>
      <c r="J11" s="1"/>
    </row>
    <row r="12" spans="1:10" s="53" customFormat="1" ht="24.95" customHeight="1" x14ac:dyDescent="0.25">
      <c r="A12" s="11" t="s">
        <v>169</v>
      </c>
      <c r="B12" s="73">
        <f>62733243.24/1000</f>
        <v>62733.243240000003</v>
      </c>
      <c r="C12" s="135">
        <f>74692320.52/1000</f>
        <v>74692.320519999994</v>
      </c>
      <c r="D12" s="135">
        <f>72848175.79/1000</f>
        <v>72848.175790000008</v>
      </c>
      <c r="E12" s="140">
        <f t="shared" si="1"/>
        <v>-1844.1447299999854</v>
      </c>
      <c r="F12" s="142">
        <f t="shared" si="2"/>
        <v>0.97531011599102502</v>
      </c>
      <c r="G12" s="66">
        <f t="shared" si="3"/>
        <v>10114.932550000005</v>
      </c>
      <c r="H12" s="68">
        <f t="shared" si="0"/>
        <v>1.1612372010052641</v>
      </c>
      <c r="I12" s="1"/>
      <c r="J12" s="1"/>
    </row>
    <row r="13" spans="1:10" s="53" customFormat="1" ht="24.95" customHeight="1" x14ac:dyDescent="0.25">
      <c r="A13" s="11" t="s">
        <v>170</v>
      </c>
      <c r="B13" s="73">
        <f>2164236.45/1000</f>
        <v>2164.2364500000003</v>
      </c>
      <c r="C13" s="135">
        <f>2740389.05/1000</f>
        <v>2740.3890499999998</v>
      </c>
      <c r="D13" s="135">
        <f>2657045.13/1000</f>
        <v>2657.04513</v>
      </c>
      <c r="E13" s="140">
        <f t="shared" si="1"/>
        <v>-83.343919999999798</v>
      </c>
      <c r="F13" s="142">
        <f t="shared" si="2"/>
        <v>0.96958682928615558</v>
      </c>
      <c r="G13" s="66">
        <f t="shared" si="3"/>
        <v>492.80867999999964</v>
      </c>
      <c r="H13" s="68">
        <f t="shared" si="0"/>
        <v>1.2277055633177232</v>
      </c>
      <c r="I13" s="1"/>
      <c r="J13" s="1"/>
    </row>
    <row r="14" spans="1:10" s="53" customFormat="1" ht="24.95" customHeight="1" x14ac:dyDescent="0.25">
      <c r="A14" s="11" t="s">
        <v>171</v>
      </c>
      <c r="B14" s="73">
        <f>711713.37/1000</f>
        <v>711.71336999999994</v>
      </c>
      <c r="C14" s="135">
        <f>6376224.8/1000</f>
        <v>6376.2248</v>
      </c>
      <c r="D14" s="135">
        <f>6017992.48/1000</f>
        <v>6017.9924800000008</v>
      </c>
      <c r="E14" s="140">
        <f t="shared" si="1"/>
        <v>-358.23231999999916</v>
      </c>
      <c r="F14" s="142">
        <f t="shared" si="2"/>
        <v>0.9438174889944283</v>
      </c>
      <c r="G14" s="66">
        <f t="shared" si="3"/>
        <v>5306.2791100000013</v>
      </c>
      <c r="H14" s="68">
        <f t="shared" si="0"/>
        <v>8.4556406183573607</v>
      </c>
      <c r="I14" s="1"/>
      <c r="J14" s="1"/>
    </row>
    <row r="15" spans="1:10" s="53" customFormat="1" ht="24.95" customHeight="1" x14ac:dyDescent="0.25">
      <c r="A15" s="11" t="s">
        <v>172</v>
      </c>
      <c r="B15" s="73">
        <f>21310209.97/1000</f>
        <v>21310.20997</v>
      </c>
      <c r="C15" s="135">
        <f>26655303.84/1000</f>
        <v>26655.30384</v>
      </c>
      <c r="D15" s="135">
        <f>25721591.56/1000</f>
        <v>25721.591559999997</v>
      </c>
      <c r="E15" s="140">
        <f t="shared" si="1"/>
        <v>-933.71228000000337</v>
      </c>
      <c r="F15" s="142">
        <f t="shared" si="2"/>
        <v>0.96497086337470905</v>
      </c>
      <c r="G15" s="66">
        <f t="shared" si="3"/>
        <v>4411.3815899999972</v>
      </c>
      <c r="H15" s="68">
        <f t="shared" si="0"/>
        <v>1.207007889467548</v>
      </c>
      <c r="I15" s="1"/>
      <c r="J15" s="1"/>
    </row>
    <row r="16" spans="1:10" s="53" customFormat="1" ht="24.95" customHeight="1" x14ac:dyDescent="0.25">
      <c r="A16" s="11" t="s">
        <v>173</v>
      </c>
      <c r="B16" s="73">
        <f>633215.79/1000</f>
        <v>633.21579000000008</v>
      </c>
      <c r="C16" s="135">
        <f>431447.3/1000</f>
        <v>431.44729999999998</v>
      </c>
      <c r="D16" s="135">
        <f>431447.3/1000</f>
        <v>431.44729999999998</v>
      </c>
      <c r="E16" s="140">
        <f t="shared" si="1"/>
        <v>0</v>
      </c>
      <c r="F16" s="142">
        <f t="shared" si="2"/>
        <v>1</v>
      </c>
      <c r="G16" s="66">
        <f t="shared" si="3"/>
        <v>-201.7684900000001</v>
      </c>
      <c r="H16" s="68">
        <f t="shared" si="0"/>
        <v>0.68135903559827515</v>
      </c>
      <c r="I16" s="1"/>
      <c r="J16" s="1"/>
    </row>
    <row r="17" spans="1:10" s="53" customFormat="1" ht="24.95" customHeight="1" x14ac:dyDescent="0.25">
      <c r="A17" s="11" t="s">
        <v>174</v>
      </c>
      <c r="B17" s="73">
        <f>22426072.66/1000</f>
        <v>22426.072660000002</v>
      </c>
      <c r="C17" s="135">
        <f>20179999.46/1000</f>
        <v>20179.999459999999</v>
      </c>
      <c r="D17" s="135">
        <f>19515131.35/1000</f>
        <v>19515.131350000003</v>
      </c>
      <c r="E17" s="140">
        <f t="shared" si="1"/>
        <v>-664.8681099999958</v>
      </c>
      <c r="F17" s="142">
        <f t="shared" si="2"/>
        <v>0.9670531155703016</v>
      </c>
      <c r="G17" s="66">
        <f t="shared" si="3"/>
        <v>-2910.9413099999983</v>
      </c>
      <c r="H17" s="68">
        <f t="shared" si="0"/>
        <v>0.8701983466239247</v>
      </c>
      <c r="I17" s="1"/>
      <c r="J17" s="1"/>
    </row>
    <row r="18" spans="1:10" s="53" customFormat="1" ht="24.95" customHeight="1" x14ac:dyDescent="0.25">
      <c r="A18" s="11" t="s">
        <v>175</v>
      </c>
      <c r="B18" s="73">
        <f>22819043.05/1000</f>
        <v>22819.04305</v>
      </c>
      <c r="C18" s="135">
        <f>27010500.4/1000</f>
        <v>27010.500399999997</v>
      </c>
      <c r="D18" s="135">
        <f>24932380.86/1000</f>
        <v>24932.380860000001</v>
      </c>
      <c r="E18" s="140">
        <f t="shared" si="1"/>
        <v>-2078.1195399999961</v>
      </c>
      <c r="F18" s="142">
        <f t="shared" si="2"/>
        <v>0.92306253089631773</v>
      </c>
      <c r="G18" s="66">
        <f t="shared" si="3"/>
        <v>2113.3378100000009</v>
      </c>
      <c r="H18" s="68">
        <f t="shared" si="0"/>
        <v>1.0926129025379967</v>
      </c>
      <c r="I18" s="1"/>
      <c r="J18" s="1"/>
    </row>
    <row r="19" spans="1:10" s="53" customFormat="1" ht="24.95" customHeight="1" x14ac:dyDescent="0.25">
      <c r="A19" s="11" t="s">
        <v>176</v>
      </c>
      <c r="B19" s="73">
        <f>63921743.62/1000</f>
        <v>63921.743619999994</v>
      </c>
      <c r="C19" s="135">
        <f>16597250/1000</f>
        <v>16597.25</v>
      </c>
      <c r="D19" s="135">
        <f>16597250/1000</f>
        <v>16597.25</v>
      </c>
      <c r="E19" s="140">
        <f t="shared" si="1"/>
        <v>0</v>
      </c>
      <c r="F19" s="142">
        <f t="shared" si="2"/>
        <v>1</v>
      </c>
      <c r="G19" s="66">
        <f t="shared" si="3"/>
        <v>-47324.493619999994</v>
      </c>
      <c r="H19" s="68">
        <f t="shared" si="0"/>
        <v>0.25964951924132135</v>
      </c>
      <c r="I19" s="1"/>
      <c r="J19" s="1"/>
    </row>
    <row r="20" spans="1:10" s="53" customFormat="1" ht="24.95" customHeight="1" x14ac:dyDescent="0.25">
      <c r="A20" s="11" t="s">
        <v>177</v>
      </c>
      <c r="B20" s="73">
        <f>1486600/1000</f>
        <v>1486.6</v>
      </c>
      <c r="C20" s="135">
        <f>1411000/1000</f>
        <v>1411</v>
      </c>
      <c r="D20" s="135">
        <f>1196000/1000</f>
        <v>1196</v>
      </c>
      <c r="E20" s="140">
        <f t="shared" si="1"/>
        <v>-215</v>
      </c>
      <c r="F20" s="142">
        <f t="shared" si="2"/>
        <v>0.8476257973068746</v>
      </c>
      <c r="G20" s="66">
        <f t="shared" si="3"/>
        <v>-290.59999999999991</v>
      </c>
      <c r="H20" s="68">
        <f t="shared" si="0"/>
        <v>0.80452038207991394</v>
      </c>
      <c r="I20" s="1"/>
      <c r="J20" s="1"/>
    </row>
    <row r="21" spans="1:10" s="53" customFormat="1" ht="24.95" customHeight="1" x14ac:dyDescent="0.25">
      <c r="A21" s="11" t="s">
        <v>178</v>
      </c>
      <c r="B21" s="73">
        <f>140082163.02/1000</f>
        <v>140082.16302000001</v>
      </c>
      <c r="C21" s="135">
        <f>136625850/1000</f>
        <v>136625.85</v>
      </c>
      <c r="D21" s="135">
        <f>134215850/1000</f>
        <v>134215.85</v>
      </c>
      <c r="E21" s="140">
        <f t="shared" si="1"/>
        <v>-2410</v>
      </c>
      <c r="F21" s="142">
        <f t="shared" si="2"/>
        <v>0.98236058549681482</v>
      </c>
      <c r="G21" s="66">
        <f t="shared" si="3"/>
        <v>-5866.3130200000014</v>
      </c>
      <c r="H21" s="68">
        <f t="shared" si="0"/>
        <v>0.958122341249382</v>
      </c>
      <c r="I21" s="1"/>
      <c r="J21" s="1"/>
    </row>
    <row r="22" spans="1:10" s="53" customFormat="1" ht="24.95" customHeight="1" x14ac:dyDescent="0.25">
      <c r="A22" s="11" t="s">
        <v>179</v>
      </c>
      <c r="B22" s="73">
        <f>24993888.58/1000</f>
        <v>24993.888579999999</v>
      </c>
      <c r="C22" s="135">
        <f>21336600/1000</f>
        <v>21336.6</v>
      </c>
      <c r="D22" s="135">
        <f>19980087.95/1000</f>
        <v>19980.087950000001</v>
      </c>
      <c r="E22" s="140">
        <f t="shared" si="1"/>
        <v>-1356.5120499999975</v>
      </c>
      <c r="F22" s="142">
        <f t="shared" si="2"/>
        <v>0.9364232328487202</v>
      </c>
      <c r="G22" s="66">
        <f t="shared" si="3"/>
        <v>-5013.8006299999979</v>
      </c>
      <c r="H22" s="68">
        <f t="shared" si="0"/>
        <v>0.79939893650594174</v>
      </c>
      <c r="I22" s="1"/>
      <c r="J22" s="1"/>
    </row>
    <row r="23" spans="1:10" s="53" customFormat="1" ht="24.95" customHeight="1" x14ac:dyDescent="0.25">
      <c r="A23" s="11" t="s">
        <v>180</v>
      </c>
      <c r="B23" s="73">
        <f>935103.5/1000</f>
        <v>935.10350000000005</v>
      </c>
      <c r="C23" s="135">
        <f>970607.53/1000</f>
        <v>970.60753</v>
      </c>
      <c r="D23" s="135">
        <f>969087.62/1000</f>
        <v>969.08762000000002</v>
      </c>
      <c r="E23" s="140">
        <f t="shared" si="1"/>
        <v>-1.5199099999999817</v>
      </c>
      <c r="F23" s="142">
        <f t="shared" si="2"/>
        <v>0.99843406325108564</v>
      </c>
      <c r="G23" s="66">
        <f t="shared" si="3"/>
        <v>33.984119999999962</v>
      </c>
      <c r="H23" s="68">
        <f t="shared" si="0"/>
        <v>1.0363426294522478</v>
      </c>
      <c r="I23" s="1"/>
      <c r="J23" s="1"/>
    </row>
    <row r="24" spans="1:10" s="53" customFormat="1" ht="24.95" customHeight="1" x14ac:dyDescent="0.25">
      <c r="A24" s="11" t="s">
        <v>181</v>
      </c>
      <c r="B24" s="73">
        <f>7183980.89/1000</f>
        <v>7183.9808899999998</v>
      </c>
      <c r="C24" s="135">
        <f>16412849.82/1000</f>
        <v>16412.849819999999</v>
      </c>
      <c r="D24" s="135">
        <f>9333176.09/1000</f>
        <v>9333.176089999999</v>
      </c>
      <c r="E24" s="140">
        <f t="shared" si="1"/>
        <v>-7079.6737300000004</v>
      </c>
      <c r="F24" s="142">
        <f t="shared" si="2"/>
        <v>0.56865055077924298</v>
      </c>
      <c r="G24" s="66">
        <f t="shared" si="3"/>
        <v>2149.1951999999992</v>
      </c>
      <c r="H24" s="68">
        <f t="shared" si="0"/>
        <v>1.2991649383410315</v>
      </c>
      <c r="I24" s="1"/>
      <c r="J24" s="1"/>
    </row>
    <row r="25" spans="1:10" s="53" customFormat="1" ht="24.95" customHeight="1" x14ac:dyDescent="0.25">
      <c r="A25" s="11" t="s">
        <v>182</v>
      </c>
      <c r="B25" s="73">
        <f>110457630.46/1000</f>
        <v>110457.63046</v>
      </c>
      <c r="C25" s="135">
        <f>46181000.17/1000</f>
        <v>46181.000169999999</v>
      </c>
      <c r="D25" s="135">
        <f>22434221.04/1000</f>
        <v>22434.22104</v>
      </c>
      <c r="E25" s="140">
        <f t="shared" si="1"/>
        <v>-23746.779129999999</v>
      </c>
      <c r="F25" s="142">
        <f t="shared" si="2"/>
        <v>0.48578898155985956</v>
      </c>
      <c r="G25" s="66">
        <f t="shared" si="3"/>
        <v>-88023.409419999996</v>
      </c>
      <c r="H25" s="68">
        <f t="shared" si="0"/>
        <v>0.20310250135344068</v>
      </c>
      <c r="I25" s="1"/>
      <c r="J25" s="1"/>
    </row>
    <row r="26" spans="1:10" s="53" customFormat="1" ht="24.95" customHeight="1" x14ac:dyDescent="0.25">
      <c r="A26" s="11" t="s">
        <v>254</v>
      </c>
      <c r="B26" s="73"/>
      <c r="C26" s="135">
        <f>500/1000</f>
        <v>0.5</v>
      </c>
      <c r="D26" s="135">
        <f>500/1000</f>
        <v>0.5</v>
      </c>
      <c r="E26" s="140">
        <f t="shared" ref="E26" si="4">D26-C26</f>
        <v>0</v>
      </c>
      <c r="F26" s="142">
        <f t="shared" ref="F26" si="5">D26/C26</f>
        <v>1</v>
      </c>
      <c r="G26" s="66"/>
      <c r="H26" s="68"/>
      <c r="I26" s="1"/>
      <c r="J26" s="1"/>
    </row>
    <row r="27" spans="1:10" s="53" customFormat="1" ht="24.95" customHeight="1" x14ac:dyDescent="0.25">
      <c r="A27" s="11" t="s">
        <v>183</v>
      </c>
      <c r="B27" s="73">
        <f>33915833.86/1000</f>
        <v>33915.833859999999</v>
      </c>
      <c r="C27" s="135">
        <f>39482158.53/1000</f>
        <v>39482.158530000001</v>
      </c>
      <c r="D27" s="135">
        <f>38989351.12/1000</f>
        <v>38989.351119999999</v>
      </c>
      <c r="E27" s="140">
        <f t="shared" si="1"/>
        <v>-492.80741000000125</v>
      </c>
      <c r="F27" s="142">
        <f t="shared" si="2"/>
        <v>0.98751822523518951</v>
      </c>
      <c r="G27" s="66">
        <f t="shared" si="3"/>
        <v>5073.5172600000005</v>
      </c>
      <c r="H27" s="68">
        <f t="shared" si="0"/>
        <v>1.1495914056231906</v>
      </c>
      <c r="I27" s="1"/>
      <c r="J27" s="1"/>
    </row>
    <row r="28" spans="1:10" s="53" customFormat="1" ht="24.95" hidden="1" customHeight="1" x14ac:dyDescent="0.25">
      <c r="A28" s="11" t="s">
        <v>196</v>
      </c>
      <c r="B28" s="73">
        <f>100000/1000</f>
        <v>100</v>
      </c>
      <c r="C28" s="135"/>
      <c r="D28" s="135"/>
      <c r="E28" s="140"/>
      <c r="F28" s="142"/>
      <c r="G28" s="66"/>
      <c r="H28" s="68"/>
      <c r="I28" s="1"/>
      <c r="J28" s="1"/>
    </row>
    <row r="29" spans="1:10" ht="31.5" x14ac:dyDescent="0.25">
      <c r="A29" s="54" t="s">
        <v>19</v>
      </c>
      <c r="B29" s="67">
        <f>SUM(B10:B28)</f>
        <v>715485.87025000004</v>
      </c>
      <c r="C29" s="136">
        <f>SUM(C10:C28)</f>
        <v>696514.8833000001</v>
      </c>
      <c r="D29" s="136">
        <f>SUM(D10:D28)</f>
        <v>637513.82722999982</v>
      </c>
      <c r="E29" s="136">
        <f>SUM(E10:E28)</f>
        <v>-59001.056069999984</v>
      </c>
      <c r="F29" s="143">
        <f>D29/C29</f>
        <v>0.91529103327920192</v>
      </c>
      <c r="G29" s="67">
        <f>SUM(G10:G28)</f>
        <v>-77872.543019999983</v>
      </c>
      <c r="H29" s="69">
        <f t="shared" si="0"/>
        <v>0.89102224619368686</v>
      </c>
    </row>
  </sheetData>
  <mergeCells count="3">
    <mergeCell ref="G7:H7"/>
    <mergeCell ref="A5:H5"/>
    <mergeCell ref="E1:H1"/>
  </mergeCells>
  <pageMargins left="1.5748031496062993" right="0.59055118110236227" top="0.59055118110236227" bottom="0.59055118110236227" header="0.31496062992125984" footer="0.31496062992125984"/>
  <pageSetup paperSize="9" orientation="portrait" r:id="rId1"/>
  <ignoredErrors>
    <ignoredError sqref="B29:D29" formulaRange="1"/>
    <ignoredError sqref="F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zoomScaleNormal="100" workbookViewId="0">
      <pane xSplit="2" topLeftCell="C1" activePane="topRight" state="frozen"/>
      <selection pane="topRight" activeCell="M18" sqref="M18"/>
    </sheetView>
  </sheetViews>
  <sheetFormatPr defaultRowHeight="15" x14ac:dyDescent="0.25"/>
  <cols>
    <col min="1" max="1" width="5.28515625" customWidth="1"/>
    <col min="2" max="2" width="31.7109375" customWidth="1"/>
    <col min="3" max="3" width="9.7109375" customWidth="1"/>
    <col min="4" max="4" width="6.7109375" customWidth="1"/>
    <col min="5" max="5" width="9.28515625" customWidth="1"/>
    <col min="6" max="6" width="7.28515625" customWidth="1"/>
    <col min="7" max="7" width="9.28515625" customWidth="1"/>
    <col min="8" max="8" width="6.7109375" customWidth="1"/>
    <col min="9" max="9" width="9.28515625" customWidth="1"/>
    <col min="10" max="10" width="7.28515625" customWidth="1"/>
    <col min="11" max="11" width="9.28515625" customWidth="1"/>
    <col min="12" max="12" width="7" customWidth="1"/>
    <col min="13" max="13" width="9.28515625" customWidth="1"/>
    <col min="14" max="14" width="6.7109375" customWidth="1"/>
    <col min="15" max="15" width="9.28515625" customWidth="1"/>
    <col min="16" max="16" width="6.7109375" hidden="1" customWidth="1"/>
    <col min="17" max="17" width="9.28515625" hidden="1" customWidth="1"/>
    <col min="18" max="18" width="7.28515625" customWidth="1"/>
    <col min="19" max="19" width="9.28515625" customWidth="1"/>
    <col min="20" max="22" width="10.7109375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79" t="s">
        <v>278</v>
      </c>
      <c r="S1" s="179"/>
      <c r="T1" s="1"/>
      <c r="U1" s="1"/>
      <c r="V1" s="1"/>
    </row>
    <row r="2" spans="1:22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2.25" customHeight="1" x14ac:dyDescent="0.25">
      <c r="A3" s="180" t="s">
        <v>225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"/>
      <c r="U3" s="1"/>
      <c r="V3" s="1"/>
    </row>
    <row r="4" spans="1:22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3" customFormat="1" ht="20.10000000000000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78" t="s">
        <v>3</v>
      </c>
      <c r="S5" s="178"/>
      <c r="T5" s="2"/>
      <c r="U5" s="2"/>
      <c r="V5" s="2"/>
    </row>
    <row r="6" spans="1:22" s="15" customFormat="1" ht="15.75" x14ac:dyDescent="0.2">
      <c r="A6" s="188" t="s">
        <v>5</v>
      </c>
      <c r="B6" s="188" t="s">
        <v>2</v>
      </c>
      <c r="C6" s="193" t="s">
        <v>1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4"/>
      <c r="U6" s="14"/>
      <c r="V6" s="14"/>
    </row>
    <row r="7" spans="1:22" s="17" customFormat="1" ht="25.5" customHeight="1" x14ac:dyDescent="0.2">
      <c r="A7" s="189"/>
      <c r="B7" s="191"/>
      <c r="C7" s="188" t="s">
        <v>21</v>
      </c>
      <c r="D7" s="195" t="s">
        <v>0</v>
      </c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6"/>
      <c r="U7" s="16"/>
      <c r="V7" s="16"/>
    </row>
    <row r="8" spans="1:22" s="17" customFormat="1" ht="25.5" customHeight="1" x14ac:dyDescent="0.2">
      <c r="A8" s="189"/>
      <c r="B8" s="191"/>
      <c r="C8" s="190"/>
      <c r="D8" s="183" t="s">
        <v>207</v>
      </c>
      <c r="E8" s="184"/>
      <c r="F8" s="183" t="s">
        <v>212</v>
      </c>
      <c r="G8" s="184"/>
      <c r="H8" s="183" t="s">
        <v>213</v>
      </c>
      <c r="I8" s="184"/>
      <c r="J8" s="183" t="s">
        <v>214</v>
      </c>
      <c r="K8" s="184"/>
      <c r="L8" s="183" t="s">
        <v>226</v>
      </c>
      <c r="M8" s="184"/>
      <c r="N8" s="183" t="s">
        <v>227</v>
      </c>
      <c r="O8" s="184"/>
      <c r="P8" s="185"/>
      <c r="Q8" s="184"/>
      <c r="R8" s="185" t="s">
        <v>228</v>
      </c>
      <c r="S8" s="184"/>
      <c r="T8" s="16"/>
      <c r="U8" s="16"/>
      <c r="V8" s="16"/>
    </row>
    <row r="9" spans="1:22" s="17" customFormat="1" ht="38.25" x14ac:dyDescent="0.2">
      <c r="A9" s="190"/>
      <c r="B9" s="192"/>
      <c r="C9" s="81" t="s">
        <v>206</v>
      </c>
      <c r="D9" s="82" t="s">
        <v>22</v>
      </c>
      <c r="E9" s="18" t="s">
        <v>23</v>
      </c>
      <c r="F9" s="18" t="s">
        <v>22</v>
      </c>
      <c r="G9" s="18" t="s">
        <v>23</v>
      </c>
      <c r="H9" s="18" t="s">
        <v>22</v>
      </c>
      <c r="I9" s="18" t="s">
        <v>23</v>
      </c>
      <c r="J9" s="18" t="s">
        <v>22</v>
      </c>
      <c r="K9" s="18" t="s">
        <v>23</v>
      </c>
      <c r="L9" s="18" t="s">
        <v>22</v>
      </c>
      <c r="M9" s="18" t="s">
        <v>23</v>
      </c>
      <c r="N9" s="18" t="s">
        <v>22</v>
      </c>
      <c r="O9" s="18" t="s">
        <v>23</v>
      </c>
      <c r="P9" s="18" t="s">
        <v>22</v>
      </c>
      <c r="Q9" s="18" t="s">
        <v>23</v>
      </c>
      <c r="R9" s="18" t="s">
        <v>22</v>
      </c>
      <c r="S9" s="18" t="s">
        <v>23</v>
      </c>
      <c r="T9" s="16"/>
      <c r="U9" s="16"/>
      <c r="V9" s="16"/>
    </row>
    <row r="10" spans="1:22" s="124" customFormat="1" ht="20.100000000000001" customHeight="1" x14ac:dyDescent="0.25">
      <c r="A10" s="186" t="s">
        <v>4</v>
      </c>
      <c r="B10" s="186"/>
      <c r="C10" s="187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"/>
      <c r="U10" s="1"/>
      <c r="V10" s="1"/>
    </row>
    <row r="11" spans="1:22" s="125" customFormat="1" ht="18" customHeight="1" x14ac:dyDescent="0.25">
      <c r="A11" s="90"/>
      <c r="B11" s="90" t="s">
        <v>187</v>
      </c>
      <c r="C11" s="91">
        <v>51277.599999999999</v>
      </c>
      <c r="D11" s="100"/>
      <c r="E11" s="91">
        <f t="shared" ref="E11:Q12" si="0">C11+D11</f>
        <v>51277.599999999999</v>
      </c>
      <c r="F11" s="100"/>
      <c r="G11" s="91">
        <f t="shared" si="0"/>
        <v>51277.599999999999</v>
      </c>
      <c r="H11" s="100">
        <v>-225</v>
      </c>
      <c r="I11" s="91">
        <f t="shared" si="0"/>
        <v>51052.6</v>
      </c>
      <c r="J11" s="100">
        <v>-80</v>
      </c>
      <c r="K11" s="91">
        <f t="shared" si="0"/>
        <v>50972.6</v>
      </c>
      <c r="L11" s="100"/>
      <c r="M11" s="91">
        <f t="shared" si="0"/>
        <v>50972.6</v>
      </c>
      <c r="N11" s="100"/>
      <c r="O11" s="91">
        <f t="shared" si="0"/>
        <v>50972.6</v>
      </c>
      <c r="P11" s="100"/>
      <c r="Q11" s="91">
        <f t="shared" si="0"/>
        <v>50972.6</v>
      </c>
      <c r="R11" s="100">
        <v>-1300</v>
      </c>
      <c r="S11" s="91">
        <f>Q11+R11</f>
        <v>49672.6</v>
      </c>
      <c r="T11" s="92"/>
      <c r="U11" s="92"/>
      <c r="V11" s="92"/>
    </row>
    <row r="12" spans="1:22" s="125" customFormat="1" ht="18" customHeight="1" x14ac:dyDescent="0.25">
      <c r="A12" s="90"/>
      <c r="B12" s="90" t="s">
        <v>34</v>
      </c>
      <c r="C12" s="91">
        <v>571918.30000000005</v>
      </c>
      <c r="D12" s="100">
        <v>-55.7</v>
      </c>
      <c r="E12" s="91">
        <f t="shared" si="0"/>
        <v>571862.60000000009</v>
      </c>
      <c r="F12" s="100">
        <v>10947</v>
      </c>
      <c r="G12" s="91">
        <f t="shared" si="0"/>
        <v>582809.60000000009</v>
      </c>
      <c r="H12" s="100">
        <f>5790.3-H11</f>
        <v>6015.3</v>
      </c>
      <c r="I12" s="91">
        <f t="shared" si="0"/>
        <v>588824.90000000014</v>
      </c>
      <c r="J12" s="100">
        <f>19411.9-J11</f>
        <v>19491.900000000001</v>
      </c>
      <c r="K12" s="91">
        <f t="shared" si="0"/>
        <v>608316.80000000016</v>
      </c>
      <c r="L12" s="100">
        <v>-95</v>
      </c>
      <c r="M12" s="91">
        <f t="shared" si="0"/>
        <v>608221.80000000016</v>
      </c>
      <c r="N12" s="100"/>
      <c r="O12" s="91">
        <f t="shared" si="0"/>
        <v>608221.80000000016</v>
      </c>
      <c r="P12" s="100"/>
      <c r="Q12" s="91">
        <f t="shared" si="0"/>
        <v>608221.80000000016</v>
      </c>
      <c r="R12" s="100">
        <v>38307.5</v>
      </c>
      <c r="S12" s="91">
        <f>Q12+R12</f>
        <v>646529.30000000016</v>
      </c>
      <c r="T12" s="92"/>
      <c r="U12" s="92"/>
      <c r="V12" s="92"/>
    </row>
    <row r="13" spans="1:22" s="123" customFormat="1" ht="18" customHeight="1" x14ac:dyDescent="0.25">
      <c r="A13" s="93"/>
      <c r="B13" s="93" t="s">
        <v>6</v>
      </c>
      <c r="C13" s="94">
        <f t="shared" ref="C13:S13" si="1">C11+C12</f>
        <v>623195.9</v>
      </c>
      <c r="D13" s="101">
        <f t="shared" si="1"/>
        <v>-55.7</v>
      </c>
      <c r="E13" s="94">
        <f t="shared" si="1"/>
        <v>623140.20000000007</v>
      </c>
      <c r="F13" s="101">
        <f t="shared" si="1"/>
        <v>10947</v>
      </c>
      <c r="G13" s="94">
        <f t="shared" si="1"/>
        <v>634087.20000000007</v>
      </c>
      <c r="H13" s="101">
        <f t="shared" si="1"/>
        <v>5790.3</v>
      </c>
      <c r="I13" s="94">
        <f t="shared" si="1"/>
        <v>639877.50000000012</v>
      </c>
      <c r="J13" s="101">
        <f t="shared" si="1"/>
        <v>19411.900000000001</v>
      </c>
      <c r="K13" s="94">
        <f t="shared" si="1"/>
        <v>659289.40000000014</v>
      </c>
      <c r="L13" s="101">
        <f t="shared" ref="L13:Q13" si="2">L11+L12</f>
        <v>-95</v>
      </c>
      <c r="M13" s="94">
        <f>M11+M12</f>
        <v>659194.40000000014</v>
      </c>
      <c r="N13" s="101">
        <f t="shared" ref="N13:O13" si="3">N11+N12</f>
        <v>0</v>
      </c>
      <c r="O13" s="94">
        <f t="shared" si="3"/>
        <v>659194.40000000014</v>
      </c>
      <c r="P13" s="101">
        <f>P11+P12</f>
        <v>0</v>
      </c>
      <c r="Q13" s="94">
        <f t="shared" si="2"/>
        <v>659194.40000000014</v>
      </c>
      <c r="R13" s="101">
        <f>R11+R12</f>
        <v>37007.5</v>
      </c>
      <c r="S13" s="94">
        <f t="shared" si="1"/>
        <v>696201.90000000014</v>
      </c>
      <c r="T13" s="95"/>
      <c r="U13" s="96"/>
      <c r="V13" s="95"/>
    </row>
    <row r="14" spans="1:22" s="124" customFormat="1" ht="19.5" customHeight="1" x14ac:dyDescent="0.25">
      <c r="A14" s="186" t="s">
        <v>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"/>
      <c r="U14" s="1"/>
      <c r="V14" s="1"/>
    </row>
    <row r="15" spans="1:22" s="125" customFormat="1" ht="18" customHeight="1" x14ac:dyDescent="0.25">
      <c r="A15" s="97" t="s">
        <v>8</v>
      </c>
      <c r="B15" s="90" t="s">
        <v>24</v>
      </c>
      <c r="C15" s="91">
        <f>'Таблица 3'!D9</f>
        <v>44814.200000000004</v>
      </c>
      <c r="D15" s="102">
        <v>1554.9</v>
      </c>
      <c r="E15" s="91">
        <f>C15+D15-0.1</f>
        <v>46369.000000000007</v>
      </c>
      <c r="F15" s="100">
        <v>708.8</v>
      </c>
      <c r="G15" s="91">
        <f t="shared" ref="E15:K25" si="4">E15+F15</f>
        <v>47077.80000000001</v>
      </c>
      <c r="H15" s="102">
        <v>-652.4</v>
      </c>
      <c r="I15" s="91">
        <f t="shared" si="4"/>
        <v>46425.400000000009</v>
      </c>
      <c r="J15" s="100">
        <v>636</v>
      </c>
      <c r="K15" s="98">
        <f t="shared" si="4"/>
        <v>47061.400000000009</v>
      </c>
      <c r="L15" s="100">
        <v>-1242</v>
      </c>
      <c r="M15" s="98">
        <f t="shared" ref="M15:M25" si="5">K15+L15</f>
        <v>45819.400000000009</v>
      </c>
      <c r="N15" s="100">
        <v>153</v>
      </c>
      <c r="O15" s="98">
        <f>M15+N15</f>
        <v>45972.400000000009</v>
      </c>
      <c r="P15" s="100"/>
      <c r="Q15" s="98">
        <f>O15+P15</f>
        <v>45972.400000000009</v>
      </c>
      <c r="R15" s="100">
        <v>3852</v>
      </c>
      <c r="S15" s="98">
        <f t="shared" ref="S15:S25" si="6">Q15+R15</f>
        <v>49824.400000000009</v>
      </c>
      <c r="T15" s="92"/>
      <c r="U15" s="92"/>
      <c r="V15" s="92"/>
    </row>
    <row r="16" spans="1:22" s="125" customFormat="1" ht="18" customHeight="1" x14ac:dyDescent="0.25">
      <c r="A16" s="97" t="s">
        <v>9</v>
      </c>
      <c r="B16" s="90" t="s">
        <v>25</v>
      </c>
      <c r="C16" s="91">
        <f>'Таблица 3'!D19</f>
        <v>954.5</v>
      </c>
      <c r="D16" s="102"/>
      <c r="E16" s="91">
        <f t="shared" si="4"/>
        <v>954.5</v>
      </c>
      <c r="F16" s="100">
        <v>11.7</v>
      </c>
      <c r="G16" s="91">
        <f t="shared" si="4"/>
        <v>966.2</v>
      </c>
      <c r="H16" s="102"/>
      <c r="I16" s="91">
        <f t="shared" si="4"/>
        <v>966.2</v>
      </c>
      <c r="J16" s="100"/>
      <c r="K16" s="91">
        <f t="shared" si="4"/>
        <v>966.2</v>
      </c>
      <c r="L16" s="100"/>
      <c r="M16" s="91">
        <f t="shared" si="5"/>
        <v>966.2</v>
      </c>
      <c r="N16" s="100"/>
      <c r="O16" s="98">
        <f t="shared" ref="O16:Q25" si="7">M16+N16</f>
        <v>966.2</v>
      </c>
      <c r="P16" s="100"/>
      <c r="Q16" s="98">
        <f t="shared" si="7"/>
        <v>966.2</v>
      </c>
      <c r="R16" s="100"/>
      <c r="S16" s="98">
        <f t="shared" si="6"/>
        <v>966.2</v>
      </c>
      <c r="T16" s="92"/>
      <c r="U16" s="92"/>
      <c r="V16" s="92"/>
    </row>
    <row r="17" spans="1:22" s="125" customFormat="1" ht="30" customHeight="1" x14ac:dyDescent="0.25">
      <c r="A17" s="97" t="s">
        <v>10</v>
      </c>
      <c r="B17" s="90" t="s">
        <v>186</v>
      </c>
      <c r="C17" s="91">
        <f>'Таблица 3'!D22</f>
        <v>1477</v>
      </c>
      <c r="D17" s="102">
        <v>547</v>
      </c>
      <c r="E17" s="91">
        <f t="shared" si="4"/>
        <v>2024</v>
      </c>
      <c r="F17" s="100"/>
      <c r="G17" s="91">
        <f t="shared" si="4"/>
        <v>2024</v>
      </c>
      <c r="H17" s="102"/>
      <c r="I17" s="91">
        <f t="shared" si="4"/>
        <v>2024</v>
      </c>
      <c r="J17" s="100"/>
      <c r="K17" s="91">
        <f t="shared" si="4"/>
        <v>2024</v>
      </c>
      <c r="L17" s="100"/>
      <c r="M17" s="91">
        <f t="shared" si="5"/>
        <v>2024</v>
      </c>
      <c r="N17" s="100"/>
      <c r="O17" s="98">
        <f t="shared" si="7"/>
        <v>2024</v>
      </c>
      <c r="P17" s="100"/>
      <c r="Q17" s="98">
        <f t="shared" si="7"/>
        <v>2024</v>
      </c>
      <c r="R17" s="100">
        <v>205.2</v>
      </c>
      <c r="S17" s="98">
        <f t="shared" si="6"/>
        <v>2229.1999999999998</v>
      </c>
      <c r="T17" s="92"/>
      <c r="U17" s="92"/>
      <c r="V17" s="92"/>
    </row>
    <row r="18" spans="1:22" s="125" customFormat="1" ht="18" customHeight="1" x14ac:dyDescent="0.25">
      <c r="A18" s="97" t="s">
        <v>11</v>
      </c>
      <c r="B18" s="90" t="s">
        <v>26</v>
      </c>
      <c r="C18" s="91">
        <f>'Таблица 3'!D25</f>
        <v>43797.4</v>
      </c>
      <c r="D18" s="102">
        <v>-241.3</v>
      </c>
      <c r="E18" s="91">
        <f t="shared" si="4"/>
        <v>43556.1</v>
      </c>
      <c r="F18" s="100"/>
      <c r="G18" s="91">
        <f t="shared" si="4"/>
        <v>43556.1</v>
      </c>
      <c r="H18" s="102"/>
      <c r="I18" s="91">
        <f t="shared" si="4"/>
        <v>43556.1</v>
      </c>
      <c r="J18" s="100"/>
      <c r="K18" s="91">
        <f t="shared" si="4"/>
        <v>43556.1</v>
      </c>
      <c r="L18" s="100">
        <v>-30</v>
      </c>
      <c r="M18" s="91">
        <f t="shared" si="5"/>
        <v>43526.1</v>
      </c>
      <c r="N18" s="100">
        <v>-803</v>
      </c>
      <c r="O18" s="98">
        <f>M18+N18</f>
        <v>42723.1</v>
      </c>
      <c r="P18" s="100"/>
      <c r="Q18" s="98">
        <f t="shared" si="7"/>
        <v>42723.1</v>
      </c>
      <c r="R18" s="100">
        <v>-6629.7</v>
      </c>
      <c r="S18" s="98">
        <f t="shared" si="6"/>
        <v>36093.4</v>
      </c>
      <c r="T18" s="92"/>
      <c r="U18" s="92"/>
      <c r="V18" s="92"/>
    </row>
    <row r="19" spans="1:22" s="125" customFormat="1" ht="30" customHeight="1" x14ac:dyDescent="0.25">
      <c r="A19" s="97" t="s">
        <v>12</v>
      </c>
      <c r="B19" s="90" t="s">
        <v>27</v>
      </c>
      <c r="C19" s="91">
        <f>'Таблица 3'!D34</f>
        <v>10019</v>
      </c>
      <c r="D19" s="102"/>
      <c r="E19" s="91">
        <f t="shared" si="4"/>
        <v>10019</v>
      </c>
      <c r="F19" s="100">
        <v>5770.8</v>
      </c>
      <c r="G19" s="91">
        <f t="shared" si="4"/>
        <v>15789.8</v>
      </c>
      <c r="H19" s="102">
        <v>6692.7</v>
      </c>
      <c r="I19" s="91">
        <f t="shared" si="4"/>
        <v>22482.5</v>
      </c>
      <c r="J19" s="100">
        <v>20724.5</v>
      </c>
      <c r="K19" s="91">
        <f t="shared" si="4"/>
        <v>43207</v>
      </c>
      <c r="L19" s="100">
        <v>700</v>
      </c>
      <c r="M19" s="91">
        <f t="shared" si="5"/>
        <v>43907</v>
      </c>
      <c r="N19" s="100"/>
      <c r="O19" s="98">
        <f t="shared" si="7"/>
        <v>43907</v>
      </c>
      <c r="P19" s="100"/>
      <c r="Q19" s="98">
        <f t="shared" si="7"/>
        <v>43907</v>
      </c>
      <c r="R19" s="100">
        <v>6582.7</v>
      </c>
      <c r="S19" s="98">
        <f t="shared" si="6"/>
        <v>50489.7</v>
      </c>
      <c r="T19" s="92"/>
      <c r="U19" s="92"/>
      <c r="V19" s="92"/>
    </row>
    <row r="20" spans="1:22" s="125" customFormat="1" ht="18" customHeight="1" x14ac:dyDescent="0.25">
      <c r="A20" s="97" t="s">
        <v>13</v>
      </c>
      <c r="B20" s="90" t="s">
        <v>28</v>
      </c>
      <c r="C20" s="91">
        <f>'Таблица 3'!D38</f>
        <v>203</v>
      </c>
      <c r="D20" s="102"/>
      <c r="E20" s="91">
        <f t="shared" si="4"/>
        <v>203</v>
      </c>
      <c r="F20" s="100"/>
      <c r="G20" s="91">
        <f t="shared" si="4"/>
        <v>203</v>
      </c>
      <c r="H20" s="102">
        <v>-123</v>
      </c>
      <c r="I20" s="91">
        <f t="shared" si="4"/>
        <v>80</v>
      </c>
      <c r="J20" s="100"/>
      <c r="K20" s="91">
        <f t="shared" si="4"/>
        <v>80</v>
      </c>
      <c r="L20" s="100"/>
      <c r="M20" s="91">
        <f t="shared" si="5"/>
        <v>80</v>
      </c>
      <c r="N20" s="100"/>
      <c r="O20" s="98">
        <f t="shared" si="7"/>
        <v>80</v>
      </c>
      <c r="P20" s="100"/>
      <c r="Q20" s="98">
        <f t="shared" si="7"/>
        <v>80</v>
      </c>
      <c r="R20" s="100"/>
      <c r="S20" s="98">
        <f t="shared" si="6"/>
        <v>80</v>
      </c>
      <c r="T20" s="92"/>
      <c r="U20" s="92"/>
      <c r="V20" s="92"/>
    </row>
    <row r="21" spans="1:22" s="125" customFormat="1" ht="18" customHeight="1" x14ac:dyDescent="0.25">
      <c r="A21" s="97" t="s">
        <v>14</v>
      </c>
      <c r="B21" s="90" t="s">
        <v>29</v>
      </c>
      <c r="C21" s="91">
        <f>'Таблица 3'!D40</f>
        <v>352175.5</v>
      </c>
      <c r="D21" s="102">
        <v>1406.6</v>
      </c>
      <c r="E21" s="91">
        <f t="shared" si="4"/>
        <v>353582.1</v>
      </c>
      <c r="F21" s="100"/>
      <c r="G21" s="91">
        <f t="shared" si="4"/>
        <v>353582.1</v>
      </c>
      <c r="H21" s="102">
        <v>50</v>
      </c>
      <c r="I21" s="98">
        <f t="shared" si="4"/>
        <v>353632.1</v>
      </c>
      <c r="J21" s="100">
        <v>-107.7</v>
      </c>
      <c r="K21" s="98">
        <f t="shared" si="4"/>
        <v>353524.39999999997</v>
      </c>
      <c r="L21" s="100">
        <v>103.2</v>
      </c>
      <c r="M21" s="98">
        <f t="shared" si="5"/>
        <v>353627.6</v>
      </c>
      <c r="N21" s="100">
        <v>649.70000000000005</v>
      </c>
      <c r="O21" s="98">
        <f t="shared" si="7"/>
        <v>354277.3</v>
      </c>
      <c r="P21" s="100"/>
      <c r="Q21" s="98">
        <f t="shared" si="7"/>
        <v>354277.3</v>
      </c>
      <c r="R21" s="100">
        <v>29096.2</v>
      </c>
      <c r="S21" s="98">
        <f t="shared" si="6"/>
        <v>383373.5</v>
      </c>
      <c r="T21" s="92"/>
      <c r="U21" s="92"/>
      <c r="V21" s="92"/>
    </row>
    <row r="22" spans="1:22" s="125" customFormat="1" ht="18" customHeight="1" x14ac:dyDescent="0.25">
      <c r="A22" s="97" t="s">
        <v>15</v>
      </c>
      <c r="B22" s="90" t="s">
        <v>31</v>
      </c>
      <c r="C22" s="91">
        <f>'Таблица 3'!D46</f>
        <v>23901.7</v>
      </c>
      <c r="D22" s="102">
        <v>70</v>
      </c>
      <c r="E22" s="91">
        <f>C22+D22</f>
        <v>23971.7</v>
      </c>
      <c r="F22" s="100"/>
      <c r="G22" s="91">
        <f t="shared" si="4"/>
        <v>23971.7</v>
      </c>
      <c r="H22" s="102"/>
      <c r="I22" s="91">
        <f t="shared" si="4"/>
        <v>23971.7</v>
      </c>
      <c r="J22" s="100"/>
      <c r="K22" s="91">
        <f t="shared" si="4"/>
        <v>23971.7</v>
      </c>
      <c r="L22" s="100"/>
      <c r="M22" s="91">
        <f t="shared" si="5"/>
        <v>23971.7</v>
      </c>
      <c r="N22" s="100">
        <v>0.3</v>
      </c>
      <c r="O22" s="98">
        <f t="shared" si="7"/>
        <v>23972</v>
      </c>
      <c r="P22" s="100"/>
      <c r="Q22" s="98">
        <f t="shared" si="7"/>
        <v>23972</v>
      </c>
      <c r="R22" s="100">
        <v>3756.6</v>
      </c>
      <c r="S22" s="98">
        <f t="shared" si="6"/>
        <v>27728.6</v>
      </c>
      <c r="T22" s="92"/>
      <c r="U22" s="92"/>
      <c r="V22" s="92"/>
    </row>
    <row r="23" spans="1:22" s="125" customFormat="1" ht="18" customHeight="1" x14ac:dyDescent="0.25">
      <c r="A23" s="97" t="s">
        <v>16</v>
      </c>
      <c r="B23" s="90" t="s">
        <v>30</v>
      </c>
      <c r="C23" s="91">
        <f>'Таблица 3'!D48</f>
        <v>62382.3</v>
      </c>
      <c r="D23" s="102"/>
      <c r="E23" s="91">
        <f t="shared" si="4"/>
        <v>62382.3</v>
      </c>
      <c r="F23" s="100">
        <v>2164.6999999999998</v>
      </c>
      <c r="G23" s="91">
        <f t="shared" si="4"/>
        <v>64547</v>
      </c>
      <c r="H23" s="102">
        <v>-300</v>
      </c>
      <c r="I23" s="91">
        <f t="shared" si="4"/>
        <v>64247</v>
      </c>
      <c r="J23" s="100">
        <v>-1840.9</v>
      </c>
      <c r="K23" s="91">
        <f t="shared" si="4"/>
        <v>62406.1</v>
      </c>
      <c r="L23" s="100">
        <v>323.83999999999997</v>
      </c>
      <c r="M23" s="91">
        <f t="shared" si="5"/>
        <v>62729.939999999995</v>
      </c>
      <c r="N23" s="100"/>
      <c r="O23" s="98">
        <f t="shared" si="7"/>
        <v>62729.939999999995</v>
      </c>
      <c r="P23" s="100"/>
      <c r="Q23" s="98">
        <f t="shared" si="7"/>
        <v>62729.939999999995</v>
      </c>
      <c r="R23" s="100">
        <v>-1746.1</v>
      </c>
      <c r="S23" s="98">
        <f t="shared" si="6"/>
        <v>60983.839999999997</v>
      </c>
      <c r="T23" s="92"/>
      <c r="U23" s="92"/>
      <c r="V23" s="92"/>
    </row>
    <row r="24" spans="1:22" s="125" customFormat="1" ht="18" customHeight="1" x14ac:dyDescent="0.25">
      <c r="A24" s="97" t="s">
        <v>17</v>
      </c>
      <c r="B24" s="90" t="s">
        <v>32</v>
      </c>
      <c r="C24" s="91">
        <f>'Таблица 3'!D54</f>
        <v>760.3</v>
      </c>
      <c r="D24" s="102"/>
      <c r="E24" s="91">
        <f t="shared" si="4"/>
        <v>760.3</v>
      </c>
      <c r="F24" s="100"/>
      <c r="G24" s="91">
        <f t="shared" si="4"/>
        <v>760.3</v>
      </c>
      <c r="H24" s="102"/>
      <c r="I24" s="91">
        <f t="shared" si="4"/>
        <v>760.3</v>
      </c>
      <c r="J24" s="100"/>
      <c r="K24" s="91">
        <f t="shared" si="4"/>
        <v>760.3</v>
      </c>
      <c r="L24" s="100"/>
      <c r="M24" s="91">
        <f t="shared" si="5"/>
        <v>760.3</v>
      </c>
      <c r="N24" s="100"/>
      <c r="O24" s="98">
        <f t="shared" si="7"/>
        <v>760.3</v>
      </c>
      <c r="P24" s="100"/>
      <c r="Q24" s="98">
        <f t="shared" si="7"/>
        <v>760.3</v>
      </c>
      <c r="R24" s="100"/>
      <c r="S24" s="98">
        <f t="shared" si="6"/>
        <v>760.3</v>
      </c>
      <c r="T24" s="92"/>
      <c r="U24" s="92"/>
      <c r="V24" s="92"/>
    </row>
    <row r="25" spans="1:22" s="125" customFormat="1" ht="18" customHeight="1" x14ac:dyDescent="0.25">
      <c r="A25" s="97" t="s">
        <v>18</v>
      </c>
      <c r="B25" s="90" t="s">
        <v>33</v>
      </c>
      <c r="C25" s="91">
        <f>'Таблица 3'!D57</f>
        <v>81411</v>
      </c>
      <c r="D25" s="102">
        <v>511.2</v>
      </c>
      <c r="E25" s="91">
        <f t="shared" si="4"/>
        <v>81922.2</v>
      </c>
      <c r="F25" s="100"/>
      <c r="G25" s="91">
        <f t="shared" si="4"/>
        <v>81922.2</v>
      </c>
      <c r="H25" s="102">
        <v>123</v>
      </c>
      <c r="I25" s="91">
        <f t="shared" si="4"/>
        <v>82045.2</v>
      </c>
      <c r="J25" s="100"/>
      <c r="K25" s="91">
        <f t="shared" si="4"/>
        <v>82045.2</v>
      </c>
      <c r="L25" s="100">
        <v>50</v>
      </c>
      <c r="M25" s="91">
        <f t="shared" si="5"/>
        <v>82095.199999999997</v>
      </c>
      <c r="N25" s="100"/>
      <c r="O25" s="98">
        <f t="shared" si="7"/>
        <v>82095.199999999997</v>
      </c>
      <c r="P25" s="100"/>
      <c r="Q25" s="98">
        <f t="shared" si="7"/>
        <v>82095.199999999997</v>
      </c>
      <c r="R25" s="100">
        <v>1890.6</v>
      </c>
      <c r="S25" s="98">
        <f t="shared" si="6"/>
        <v>83985.8</v>
      </c>
      <c r="T25" s="92"/>
      <c r="U25" s="92"/>
      <c r="V25" s="92"/>
    </row>
    <row r="26" spans="1:22" s="123" customFormat="1" ht="18" customHeight="1" x14ac:dyDescent="0.25">
      <c r="A26" s="99"/>
      <c r="B26" s="93" t="s">
        <v>19</v>
      </c>
      <c r="C26" s="94">
        <f>SUM(C15:C25)</f>
        <v>621895.9</v>
      </c>
      <c r="D26" s="101">
        <f>SUM(D15:D25)</f>
        <v>3848.3999999999996</v>
      </c>
      <c r="E26" s="94">
        <f>SUM(E15:E25)</f>
        <v>625744.19999999995</v>
      </c>
      <c r="F26" s="101">
        <f t="shared" ref="F26:R26" si="8">SUM(F15:F25)</f>
        <v>8656</v>
      </c>
      <c r="G26" s="94">
        <f>SUM(G15:G25)</f>
        <v>634400.19999999995</v>
      </c>
      <c r="H26" s="101">
        <f t="shared" ref="H26:P26" si="9">SUM(H15:H25)</f>
        <v>5790.3</v>
      </c>
      <c r="I26" s="94">
        <f>SUM(I15:I25)</f>
        <v>640190.5</v>
      </c>
      <c r="J26" s="101">
        <f t="shared" si="9"/>
        <v>19411.899999999998</v>
      </c>
      <c r="K26" s="94">
        <f>SUM(K15:K25)</f>
        <v>659602.4</v>
      </c>
      <c r="L26" s="101">
        <f>SUM(L15:L25)</f>
        <v>-94.960000000000036</v>
      </c>
      <c r="M26" s="94">
        <f t="shared" si="9"/>
        <v>659507.43999999994</v>
      </c>
      <c r="N26" s="101">
        <f t="shared" si="9"/>
        <v>4.546363285840016E-14</v>
      </c>
      <c r="O26" s="94">
        <f>SUM(O15:O25)</f>
        <v>659507.43999999994</v>
      </c>
      <c r="P26" s="101">
        <f t="shared" si="9"/>
        <v>0</v>
      </c>
      <c r="Q26" s="94">
        <f>SUM(Q15:Q25)</f>
        <v>659507.43999999994</v>
      </c>
      <c r="R26" s="101">
        <f t="shared" si="8"/>
        <v>37007.5</v>
      </c>
      <c r="S26" s="94">
        <f>SUM(S15:S25)</f>
        <v>696514.94000000006</v>
      </c>
      <c r="T26" s="95"/>
      <c r="U26" s="96"/>
      <c r="V26" s="95"/>
    </row>
    <row r="27" spans="1:22" s="124" customFormat="1" ht="9.9499999999999993" customHeight="1" x14ac:dyDescent="0.25">
      <c r="A27" s="181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"/>
      <c r="U27" s="1"/>
      <c r="V27" s="1"/>
    </row>
    <row r="28" spans="1:22" s="123" customFormat="1" ht="18" customHeight="1" x14ac:dyDescent="0.25">
      <c r="A28" s="99"/>
      <c r="B28" s="93" t="s">
        <v>224</v>
      </c>
      <c r="C28" s="94">
        <f>C13-C26</f>
        <v>1300</v>
      </c>
      <c r="D28" s="94"/>
      <c r="E28" s="94">
        <f>E13-E26</f>
        <v>-2603.9999999998836</v>
      </c>
      <c r="F28" s="94"/>
      <c r="G28" s="94">
        <f>G13-G26</f>
        <v>-312.99999999988358</v>
      </c>
      <c r="H28" s="94"/>
      <c r="I28" s="94">
        <f>I13-I26</f>
        <v>-312.99999999988358</v>
      </c>
      <c r="J28" s="94"/>
      <c r="K28" s="94">
        <f>K13-K26</f>
        <v>-312.99999999988358</v>
      </c>
      <c r="L28" s="94"/>
      <c r="M28" s="94">
        <f>M13-M26</f>
        <v>-313.03999999980442</v>
      </c>
      <c r="N28" s="94"/>
      <c r="O28" s="94">
        <f>O13-O26</f>
        <v>-313.03999999980442</v>
      </c>
      <c r="P28" s="94"/>
      <c r="Q28" s="94">
        <f>Q13-Q26</f>
        <v>-313.03999999980442</v>
      </c>
      <c r="R28" s="94"/>
      <c r="S28" s="94">
        <f>S13-S26</f>
        <v>-313.03999999992084</v>
      </c>
      <c r="T28" s="95"/>
      <c r="U28" s="95"/>
      <c r="V28" s="95"/>
    </row>
    <row r="29" spans="1:22" ht="15.75" hidden="1" x14ac:dyDescent="0.25">
      <c r="A29" s="7"/>
      <c r="B29" s="1"/>
      <c r="C29" s="122"/>
      <c r="D29" s="1"/>
      <c r="E29" s="122">
        <f>E28/E11</f>
        <v>-5.0782407913004583E-2</v>
      </c>
      <c r="F29" s="1"/>
      <c r="G29" s="122">
        <f>G28/G11</f>
        <v>-6.1040298297869557E-3</v>
      </c>
      <c r="H29" s="1"/>
      <c r="I29" s="122">
        <f>I28/I11</f>
        <v>-6.1309316273781079E-3</v>
      </c>
      <c r="J29" s="1"/>
      <c r="K29" s="122">
        <f>K28/K11</f>
        <v>-6.1405539446660285E-3</v>
      </c>
      <c r="L29" s="1"/>
      <c r="M29" s="122">
        <f>M28/M11</f>
        <v>-6.1413386799928672E-3</v>
      </c>
      <c r="N29" s="1"/>
      <c r="O29" s="122">
        <f>O28/O11</f>
        <v>-6.1413386799928672E-3</v>
      </c>
      <c r="P29" s="1"/>
      <c r="Q29" s="122">
        <f>Q28/Q11</f>
        <v>-6.1413386799928672E-3</v>
      </c>
      <c r="R29" s="1"/>
      <c r="S29" s="122">
        <f>S28/S11</f>
        <v>-6.3020659276929502E-3</v>
      </c>
      <c r="T29" s="1"/>
      <c r="U29" s="1"/>
      <c r="V29" s="1"/>
    </row>
    <row r="30" spans="1:22" ht="15.75" hidden="1" x14ac:dyDescent="0.25">
      <c r="A30" s="7"/>
      <c r="B30" s="1" t="s">
        <v>229</v>
      </c>
      <c r="C30" s="127">
        <f>C26*3%</f>
        <v>18656.877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x14ac:dyDescent="0.2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x14ac:dyDescent="0.25">
      <c r="A33" s="2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</sheetData>
  <mergeCells count="19">
    <mergeCell ref="R1:S1"/>
    <mergeCell ref="A3:S3"/>
    <mergeCell ref="R5:S5"/>
    <mergeCell ref="A6:A9"/>
    <mergeCell ref="B6:B9"/>
    <mergeCell ref="C6:S6"/>
    <mergeCell ref="C7:C8"/>
    <mergeCell ref="D7:S7"/>
    <mergeCell ref="D8:E8"/>
    <mergeCell ref="F8:G8"/>
    <mergeCell ref="L8:M8"/>
    <mergeCell ref="P8:Q8"/>
    <mergeCell ref="N8:O8"/>
    <mergeCell ref="A27:S27"/>
    <mergeCell ref="H8:I8"/>
    <mergeCell ref="J8:K8"/>
    <mergeCell ref="R8:S8"/>
    <mergeCell ref="A10:S10"/>
    <mergeCell ref="A14:S14"/>
  </mergeCells>
  <pageMargins left="0.39370078740157483" right="0.31496062992125984" top="0.51181102362204722" bottom="0.51181102362204722" header="0.31496062992125984" footer="0.31496062992125984"/>
  <pageSetup paperSize="9" scale="87" orientation="landscape" verticalDpi="0" r:id="rId1"/>
  <ignoredErrors>
    <ignoredError sqref="F26 J26 R26 H12 J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/>
  </sheetViews>
  <sheetFormatPr defaultRowHeight="15" x14ac:dyDescent="0.25"/>
  <cols>
    <col min="1" max="2" width="11.28515625" style="84" customWidth="1"/>
    <col min="3" max="3" width="9.28515625" style="84" customWidth="1"/>
    <col min="4" max="4" width="6.7109375" style="84" customWidth="1"/>
    <col min="5" max="5" width="3.85546875" style="84" customWidth="1"/>
    <col min="6" max="6" width="57.7109375" style="84" customWidth="1"/>
    <col min="7" max="7" width="11.28515625" style="84" customWidth="1"/>
    <col min="8" max="8" width="11.28515625" style="52" customWidth="1"/>
    <col min="9" max="9" width="9.28515625" style="52" customWidth="1"/>
    <col min="10" max="10" width="7.28515625" customWidth="1"/>
    <col min="11" max="12" width="11.28515625" customWidth="1"/>
    <col min="13" max="13" width="9.42578125" style="89" customWidth="1"/>
  </cols>
  <sheetData>
    <row r="1" spans="1:13" ht="9.9499999999999993" customHeight="1" x14ac:dyDescent="0.25"/>
    <row r="2" spans="1:13" s="162" customFormat="1" ht="20.100000000000001" customHeight="1" x14ac:dyDescent="0.25">
      <c r="A2" s="202" t="s">
        <v>269</v>
      </c>
      <c r="B2" s="202" t="s">
        <v>270</v>
      </c>
      <c r="C2" s="202" t="s">
        <v>272</v>
      </c>
      <c r="D2" s="161"/>
      <c r="E2" s="202" t="s">
        <v>293</v>
      </c>
      <c r="F2" s="202" t="s">
        <v>292</v>
      </c>
      <c r="G2" s="200" t="s">
        <v>290</v>
      </c>
      <c r="H2" s="200"/>
      <c r="I2" s="200"/>
      <c r="J2" s="200"/>
      <c r="K2" s="201" t="s">
        <v>291</v>
      </c>
      <c r="L2" s="201"/>
      <c r="M2" s="201"/>
    </row>
    <row r="3" spans="1:13" s="162" customFormat="1" ht="15" customHeight="1" x14ac:dyDescent="0.25">
      <c r="A3" s="203"/>
      <c r="B3" s="203"/>
      <c r="C3" s="203"/>
      <c r="D3" s="161"/>
      <c r="E3" s="203"/>
      <c r="F3" s="203"/>
      <c r="G3" s="173" t="s">
        <v>269</v>
      </c>
      <c r="H3" s="173" t="s">
        <v>270</v>
      </c>
      <c r="I3" s="173" t="s">
        <v>272</v>
      </c>
      <c r="J3" s="173" t="s">
        <v>294</v>
      </c>
      <c r="K3" s="173" t="s">
        <v>269</v>
      </c>
      <c r="L3" s="173" t="s">
        <v>270</v>
      </c>
      <c r="M3" s="173" t="s">
        <v>272</v>
      </c>
    </row>
    <row r="4" spans="1:13" x14ac:dyDescent="0.25">
      <c r="A4" s="174">
        <v>28181000</v>
      </c>
      <c r="B4" s="174">
        <v>28181000</v>
      </c>
      <c r="C4" s="174">
        <f>A4-B4</f>
        <v>0</v>
      </c>
      <c r="E4" s="163">
        <v>1</v>
      </c>
      <c r="F4" s="164" t="s">
        <v>281</v>
      </c>
      <c r="G4" s="165">
        <f>A9</f>
        <v>192431800</v>
      </c>
      <c r="H4" s="165">
        <f>B9</f>
        <v>192391396</v>
      </c>
      <c r="I4" s="165">
        <f>G4-H4</f>
        <v>40404</v>
      </c>
      <c r="J4" s="166">
        <f>H4/G4</f>
        <v>0.99979003470320393</v>
      </c>
      <c r="K4" s="167">
        <f>988000+2049568.8+6619528.05+31210586.22+82333849.86+17752289.07+6566078+42518200+2393700</f>
        <v>192431800</v>
      </c>
      <c r="L4" s="167">
        <f>988000+2049568.8+6619528.05+31210586.22+82293446.02+17752289.07+6566078+42518200+2393700</f>
        <v>192391396.16</v>
      </c>
      <c r="M4" s="165">
        <f>K4-L4</f>
        <v>40403.840000003576</v>
      </c>
    </row>
    <row r="5" spans="1:13" x14ac:dyDescent="0.25">
      <c r="A5" s="174">
        <v>671000</v>
      </c>
      <c r="B5" s="174">
        <v>456000</v>
      </c>
      <c r="C5" s="174">
        <f t="shared" ref="C5:C21" si="0">A5-B5</f>
        <v>215000</v>
      </c>
      <c r="E5" s="163">
        <v>2</v>
      </c>
      <c r="F5" s="164" t="s">
        <v>282</v>
      </c>
      <c r="G5" s="165">
        <f>A18</f>
        <v>162000</v>
      </c>
      <c r="H5" s="165">
        <f>B18</f>
        <v>0</v>
      </c>
      <c r="I5" s="165">
        <f t="shared" ref="I5:I17" si="1">G5-H5</f>
        <v>162000</v>
      </c>
      <c r="J5" s="168">
        <f>H5/G5</f>
        <v>0</v>
      </c>
      <c r="K5" s="167">
        <f>A18</f>
        <v>162000</v>
      </c>
      <c r="L5" s="167">
        <f>B18</f>
        <v>0</v>
      </c>
      <c r="M5" s="165">
        <f t="shared" ref="M5:M17" si="2">K5-L5</f>
        <v>162000</v>
      </c>
    </row>
    <row r="6" spans="1:13" x14ac:dyDescent="0.25">
      <c r="A6" s="174">
        <v>4222000</v>
      </c>
      <c r="B6" s="174">
        <v>1812000</v>
      </c>
      <c r="C6" s="174">
        <f t="shared" si="0"/>
        <v>2410000</v>
      </c>
      <c r="E6" s="197">
        <v>3</v>
      </c>
      <c r="F6" s="204" t="s">
        <v>283</v>
      </c>
      <c r="G6" s="199">
        <f>A10+A12</f>
        <v>1179000</v>
      </c>
      <c r="H6" s="199">
        <f>B10+B12</f>
        <v>1179000</v>
      </c>
      <c r="I6" s="199">
        <f t="shared" si="1"/>
        <v>0</v>
      </c>
      <c r="J6" s="198">
        <f>H6/G6</f>
        <v>1</v>
      </c>
      <c r="K6" s="199">
        <f>A10+A12</f>
        <v>1179000</v>
      </c>
      <c r="L6" s="199">
        <f>B10+B12</f>
        <v>1179000</v>
      </c>
      <c r="M6" s="199">
        <f t="shared" si="2"/>
        <v>0</v>
      </c>
    </row>
    <row r="7" spans="1:13" x14ac:dyDescent="0.25">
      <c r="A7" s="174">
        <v>27309500</v>
      </c>
      <c r="B7" s="174">
        <v>27309500</v>
      </c>
      <c r="C7" s="174">
        <f t="shared" si="0"/>
        <v>0</v>
      </c>
      <c r="E7" s="197"/>
      <c r="F7" s="204"/>
      <c r="G7" s="199"/>
      <c r="H7" s="199"/>
      <c r="I7" s="199"/>
      <c r="J7" s="198"/>
      <c r="K7" s="199"/>
      <c r="L7" s="199"/>
      <c r="M7" s="199"/>
    </row>
    <row r="8" spans="1:13" x14ac:dyDescent="0.25">
      <c r="A8" s="174">
        <v>5492500</v>
      </c>
      <c r="B8" s="174">
        <v>5492500</v>
      </c>
      <c r="C8" s="174">
        <f t="shared" si="0"/>
        <v>0</v>
      </c>
      <c r="E8" s="197">
        <v>4</v>
      </c>
      <c r="F8" s="196" t="s">
        <v>284</v>
      </c>
      <c r="G8" s="199">
        <f>A4</f>
        <v>28181000</v>
      </c>
      <c r="H8" s="199">
        <f>B4</f>
        <v>28181000</v>
      </c>
      <c r="I8" s="199">
        <f t="shared" si="1"/>
        <v>0</v>
      </c>
      <c r="J8" s="198">
        <f>H8/G8</f>
        <v>1</v>
      </c>
      <c r="K8" s="199">
        <f>A4</f>
        <v>28181000</v>
      </c>
      <c r="L8" s="199">
        <f>B4</f>
        <v>28181000</v>
      </c>
      <c r="M8" s="199">
        <f t="shared" si="2"/>
        <v>0</v>
      </c>
    </row>
    <row r="9" spans="1:13" x14ac:dyDescent="0.25">
      <c r="A9" s="174">
        <v>192431800</v>
      </c>
      <c r="B9" s="174">
        <v>192391396</v>
      </c>
      <c r="C9" s="174">
        <f t="shared" si="0"/>
        <v>40404</v>
      </c>
      <c r="E9" s="197"/>
      <c r="F9" s="196"/>
      <c r="G9" s="199"/>
      <c r="H9" s="199"/>
      <c r="I9" s="199"/>
      <c r="J9" s="198"/>
      <c r="K9" s="199"/>
      <c r="L9" s="199"/>
      <c r="M9" s="199"/>
    </row>
    <row r="10" spans="1:13" x14ac:dyDescent="0.25">
      <c r="A10" s="174">
        <v>1169000</v>
      </c>
      <c r="B10" s="174">
        <v>1169000</v>
      </c>
      <c r="C10" s="174">
        <f t="shared" si="0"/>
        <v>0</v>
      </c>
      <c r="E10" s="163">
        <v>5</v>
      </c>
      <c r="F10" s="164" t="s">
        <v>285</v>
      </c>
      <c r="G10" s="165">
        <f>A17</f>
        <v>1150000</v>
      </c>
      <c r="H10" s="165">
        <f>B17</f>
        <v>0</v>
      </c>
      <c r="I10" s="165">
        <f t="shared" si="1"/>
        <v>1150000</v>
      </c>
      <c r="J10" s="168">
        <f t="shared" ref="J10:J12" si="3">H10/G10</f>
        <v>0</v>
      </c>
      <c r="K10" s="167">
        <f>A17</f>
        <v>1150000</v>
      </c>
      <c r="L10" s="167">
        <f>B17</f>
        <v>0</v>
      </c>
      <c r="M10" s="165">
        <f t="shared" si="2"/>
        <v>1150000</v>
      </c>
    </row>
    <row r="11" spans="1:13" ht="15" customHeight="1" x14ac:dyDescent="0.25">
      <c r="A11" s="174">
        <v>1560000</v>
      </c>
      <c r="B11" s="174">
        <v>1560000</v>
      </c>
      <c r="C11" s="174">
        <f t="shared" si="0"/>
        <v>0</v>
      </c>
      <c r="E11" s="163">
        <v>6</v>
      </c>
      <c r="F11" s="164" t="s">
        <v>286</v>
      </c>
      <c r="G11" s="165">
        <f>A5</f>
        <v>671000</v>
      </c>
      <c r="H11" s="165">
        <f>B5</f>
        <v>456000</v>
      </c>
      <c r="I11" s="165">
        <f t="shared" si="1"/>
        <v>215000</v>
      </c>
      <c r="J11" s="169">
        <f t="shared" si="3"/>
        <v>0.67958271236959766</v>
      </c>
      <c r="K11" s="167">
        <f>A5</f>
        <v>671000</v>
      </c>
      <c r="L11" s="167">
        <f>B5</f>
        <v>456000</v>
      </c>
      <c r="M11" s="165">
        <f t="shared" si="2"/>
        <v>215000</v>
      </c>
    </row>
    <row r="12" spans="1:13" x14ac:dyDescent="0.25">
      <c r="A12" s="174">
        <v>10000</v>
      </c>
      <c r="B12" s="174">
        <v>10000</v>
      </c>
      <c r="C12" s="174">
        <f t="shared" si="0"/>
        <v>0</v>
      </c>
      <c r="E12" s="163">
        <v>7</v>
      </c>
      <c r="F12" s="164" t="s">
        <v>27</v>
      </c>
      <c r="G12" s="165">
        <f>A7+A8</f>
        <v>32802000</v>
      </c>
      <c r="H12" s="165">
        <f>B7+B8</f>
        <v>32802000</v>
      </c>
      <c r="I12" s="165">
        <f t="shared" si="1"/>
        <v>0</v>
      </c>
      <c r="J12" s="166">
        <f t="shared" si="3"/>
        <v>1</v>
      </c>
      <c r="K12" s="167">
        <f>A7+A8</f>
        <v>32802000</v>
      </c>
      <c r="L12" s="167">
        <f>B7+B8</f>
        <v>32802000</v>
      </c>
      <c r="M12" s="165">
        <f t="shared" si="2"/>
        <v>0</v>
      </c>
    </row>
    <row r="13" spans="1:13" x14ac:dyDescent="0.25">
      <c r="A13" s="174">
        <v>100000</v>
      </c>
      <c r="B13" s="174">
        <v>100000</v>
      </c>
      <c r="C13" s="174">
        <f t="shared" si="0"/>
        <v>0</v>
      </c>
      <c r="E13" s="197">
        <v>8</v>
      </c>
      <c r="F13" s="196" t="s">
        <v>287</v>
      </c>
      <c r="G13" s="199">
        <f>A11+A21</f>
        <v>6219400</v>
      </c>
      <c r="H13" s="199">
        <f>B11+B21</f>
        <v>6219400</v>
      </c>
      <c r="I13" s="199">
        <f t="shared" si="1"/>
        <v>0</v>
      </c>
      <c r="J13" s="198">
        <f>H13/G13</f>
        <v>1</v>
      </c>
      <c r="K13" s="199">
        <f>A11+A21</f>
        <v>6219400</v>
      </c>
      <c r="L13" s="199">
        <f>B11+B21</f>
        <v>6219400</v>
      </c>
      <c r="M13" s="199">
        <f t="shared" si="2"/>
        <v>0</v>
      </c>
    </row>
    <row r="14" spans="1:13" x14ac:dyDescent="0.25">
      <c r="A14" s="174">
        <v>500000</v>
      </c>
      <c r="B14" s="174">
        <v>500000</v>
      </c>
      <c r="C14" s="174">
        <f t="shared" si="0"/>
        <v>0</v>
      </c>
      <c r="E14" s="197"/>
      <c r="F14" s="196"/>
      <c r="G14" s="199"/>
      <c r="H14" s="199"/>
      <c r="I14" s="199"/>
      <c r="J14" s="198"/>
      <c r="K14" s="199"/>
      <c r="L14" s="199"/>
      <c r="M14" s="199"/>
    </row>
    <row r="15" spans="1:13" x14ac:dyDescent="0.25">
      <c r="A15" s="174">
        <v>2090300</v>
      </c>
      <c r="B15" s="174">
        <v>775300</v>
      </c>
      <c r="C15" s="174">
        <f t="shared" si="0"/>
        <v>1315000</v>
      </c>
      <c r="E15" s="163">
        <v>9</v>
      </c>
      <c r="F15" s="164" t="s">
        <v>130</v>
      </c>
      <c r="G15" s="165">
        <f>A6+A20</f>
        <v>4308000</v>
      </c>
      <c r="H15" s="165">
        <f>B6+B20</f>
        <v>1898000</v>
      </c>
      <c r="I15" s="165">
        <f t="shared" si="1"/>
        <v>2410000</v>
      </c>
      <c r="J15" s="169">
        <f t="shared" ref="J15:J18" si="4">H15/G15</f>
        <v>0.44057567316620244</v>
      </c>
      <c r="K15" s="167">
        <f>A6+A20</f>
        <v>4308000</v>
      </c>
      <c r="L15" s="167">
        <f>B6+B20</f>
        <v>1898000</v>
      </c>
      <c r="M15" s="165">
        <f t="shared" si="2"/>
        <v>2410000</v>
      </c>
    </row>
    <row r="16" spans="1:13" x14ac:dyDescent="0.25">
      <c r="A16" s="174">
        <v>1509100</v>
      </c>
      <c r="B16" s="174">
        <v>1509100</v>
      </c>
      <c r="C16" s="174">
        <f t="shared" si="0"/>
        <v>0</v>
      </c>
      <c r="E16" s="163">
        <v>10</v>
      </c>
      <c r="F16" s="164" t="s">
        <v>288</v>
      </c>
      <c r="G16" s="165">
        <f>A13+A14+A19</f>
        <v>1348000</v>
      </c>
      <c r="H16" s="165">
        <f>B13+B14+B19</f>
        <v>1348000</v>
      </c>
      <c r="I16" s="165">
        <f t="shared" si="1"/>
        <v>0</v>
      </c>
      <c r="J16" s="166">
        <f t="shared" si="4"/>
        <v>1</v>
      </c>
      <c r="K16" s="167">
        <f>A13+A14+A19</f>
        <v>1348000</v>
      </c>
      <c r="L16" s="167">
        <f>B13+B14+B19</f>
        <v>1348000</v>
      </c>
      <c r="M16" s="165">
        <f t="shared" si="2"/>
        <v>0</v>
      </c>
    </row>
    <row r="17" spans="1:13" x14ac:dyDescent="0.25">
      <c r="A17" s="174">
        <v>1150000</v>
      </c>
      <c r="B17" s="174">
        <v>0</v>
      </c>
      <c r="C17" s="174">
        <f t="shared" si="0"/>
        <v>1150000</v>
      </c>
      <c r="E17" s="163">
        <v>11</v>
      </c>
      <c r="F17" s="164" t="s">
        <v>289</v>
      </c>
      <c r="G17" s="165">
        <f>A15+A16</f>
        <v>3599400</v>
      </c>
      <c r="H17" s="165">
        <f>B15+B16</f>
        <v>2284400</v>
      </c>
      <c r="I17" s="165">
        <f t="shared" si="1"/>
        <v>1315000</v>
      </c>
      <c r="J17" s="169">
        <f t="shared" si="4"/>
        <v>0.63466133244429623</v>
      </c>
      <c r="K17" s="167">
        <f>A15+A16</f>
        <v>3599400</v>
      </c>
      <c r="L17" s="167">
        <f>B15+B16</f>
        <v>2284400</v>
      </c>
      <c r="M17" s="165">
        <f t="shared" si="2"/>
        <v>1315000</v>
      </c>
    </row>
    <row r="18" spans="1:13" x14ac:dyDescent="0.25">
      <c r="A18" s="174">
        <v>162000</v>
      </c>
      <c r="B18" s="174">
        <v>0</v>
      </c>
      <c r="C18" s="174">
        <f t="shared" si="0"/>
        <v>162000</v>
      </c>
      <c r="E18" s="146"/>
      <c r="F18" s="172" t="s">
        <v>271</v>
      </c>
      <c r="G18" s="170">
        <f>SUM(G4:G17)</f>
        <v>272051600</v>
      </c>
      <c r="H18" s="170">
        <f>SUM(H4:H17)</f>
        <v>266759196</v>
      </c>
      <c r="I18" s="170">
        <f>G18-H18</f>
        <v>5292404</v>
      </c>
      <c r="J18" s="171">
        <f t="shared" si="4"/>
        <v>0.9805463228299337</v>
      </c>
      <c r="K18" s="170">
        <f>SUM(K4:K17)</f>
        <v>272051600</v>
      </c>
      <c r="L18" s="170">
        <f>SUM(L4:L17)</f>
        <v>266759196.16</v>
      </c>
      <c r="M18" s="170">
        <f>K18-L18</f>
        <v>5292403.8400000036</v>
      </c>
    </row>
    <row r="19" spans="1:13" x14ac:dyDescent="0.25">
      <c r="A19" s="174">
        <v>748000</v>
      </c>
      <c r="B19" s="174">
        <v>748000</v>
      </c>
      <c r="C19" s="174">
        <f t="shared" si="0"/>
        <v>0</v>
      </c>
      <c r="F19" s="158"/>
      <c r="G19" s="158"/>
      <c r="K19" s="159"/>
      <c r="L19" s="159"/>
    </row>
    <row r="20" spans="1:13" x14ac:dyDescent="0.25">
      <c r="A20" s="174">
        <v>86000</v>
      </c>
      <c r="B20" s="174">
        <v>86000</v>
      </c>
      <c r="C20" s="174">
        <f t="shared" si="0"/>
        <v>0</v>
      </c>
      <c r="F20" s="158"/>
      <c r="G20" s="158"/>
      <c r="K20" s="159"/>
      <c r="L20" s="159"/>
    </row>
    <row r="21" spans="1:13" x14ac:dyDescent="0.25">
      <c r="A21" s="174">
        <v>4659400</v>
      </c>
      <c r="B21" s="174">
        <v>4659400</v>
      </c>
      <c r="C21" s="174">
        <f t="shared" si="0"/>
        <v>0</v>
      </c>
      <c r="K21" s="159"/>
      <c r="L21" s="159"/>
    </row>
    <row r="22" spans="1:13" x14ac:dyDescent="0.25">
      <c r="A22" s="175">
        <f>SUM(A4:A21)</f>
        <v>272051600</v>
      </c>
      <c r="B22" s="175">
        <f>SUM(B4:B21)</f>
        <v>266759196</v>
      </c>
      <c r="C22" s="175">
        <f>A22-B22</f>
        <v>5292404</v>
      </c>
      <c r="D22" s="176">
        <f>B22/A22</f>
        <v>0.9805463228299337</v>
      </c>
      <c r="E22" s="75"/>
      <c r="F22" s="75"/>
      <c r="G22" s="75"/>
      <c r="I22" s="160">
        <f>C22-I18</f>
        <v>0</v>
      </c>
      <c r="K22" s="159"/>
      <c r="L22" s="159"/>
    </row>
    <row r="23" spans="1:13" x14ac:dyDescent="0.25">
      <c r="D23" s="74"/>
      <c r="K23" s="159"/>
      <c r="L23" s="159"/>
    </row>
    <row r="24" spans="1:13" x14ac:dyDescent="0.25">
      <c r="K24" s="159"/>
      <c r="L24" s="159"/>
    </row>
    <row r="25" spans="1:13" x14ac:dyDescent="0.25">
      <c r="K25" s="159"/>
      <c r="L25" s="159"/>
    </row>
    <row r="26" spans="1:13" x14ac:dyDescent="0.25">
      <c r="K26" s="159"/>
      <c r="L26" s="159"/>
    </row>
    <row r="27" spans="1:13" x14ac:dyDescent="0.25">
      <c r="K27" s="159"/>
      <c r="L27" s="159"/>
    </row>
    <row r="28" spans="1:13" x14ac:dyDescent="0.25">
      <c r="K28" s="159"/>
      <c r="L28" s="159"/>
    </row>
    <row r="29" spans="1:13" x14ac:dyDescent="0.25">
      <c r="K29" s="159"/>
      <c r="L29" s="159"/>
    </row>
    <row r="30" spans="1:13" x14ac:dyDescent="0.25">
      <c r="K30" s="159"/>
      <c r="L30" s="159"/>
    </row>
    <row r="31" spans="1:13" x14ac:dyDescent="0.25">
      <c r="K31" s="159"/>
      <c r="L31" s="159"/>
    </row>
    <row r="32" spans="1:13" x14ac:dyDescent="0.25">
      <c r="K32" s="159"/>
      <c r="L32" s="159"/>
    </row>
    <row r="33" spans="11:12" x14ac:dyDescent="0.25">
      <c r="K33" s="159"/>
      <c r="L33" s="159"/>
    </row>
    <row r="34" spans="11:12" x14ac:dyDescent="0.25">
      <c r="K34" s="159"/>
      <c r="L34" s="159"/>
    </row>
    <row r="35" spans="11:12" x14ac:dyDescent="0.25">
      <c r="K35" s="159"/>
      <c r="L35" s="159"/>
    </row>
    <row r="36" spans="11:12" x14ac:dyDescent="0.25">
      <c r="K36" s="159"/>
      <c r="L36" s="159"/>
    </row>
    <row r="37" spans="11:12" x14ac:dyDescent="0.25">
      <c r="K37" s="159"/>
      <c r="L37" s="159"/>
    </row>
    <row r="38" spans="11:12" x14ac:dyDescent="0.25">
      <c r="K38" s="159"/>
      <c r="L38" s="159"/>
    </row>
    <row r="39" spans="11:12" x14ac:dyDescent="0.25">
      <c r="K39" s="159"/>
    </row>
  </sheetData>
  <mergeCells count="34">
    <mergeCell ref="A2:A3"/>
    <mergeCell ref="B2:B3"/>
    <mergeCell ref="C2:C3"/>
    <mergeCell ref="M6:M7"/>
    <mergeCell ref="M8:M9"/>
    <mergeCell ref="F6:F7"/>
    <mergeCell ref="F8:F9"/>
    <mergeCell ref="M13:M14"/>
    <mergeCell ref="G2:J2"/>
    <mergeCell ref="K2:M2"/>
    <mergeCell ref="E2:E3"/>
    <mergeCell ref="F2:F3"/>
    <mergeCell ref="K8:K9"/>
    <mergeCell ref="L8:L9"/>
    <mergeCell ref="K6:K7"/>
    <mergeCell ref="L6:L7"/>
    <mergeCell ref="K13:K14"/>
    <mergeCell ref="L13:L14"/>
    <mergeCell ref="J6:J7"/>
    <mergeCell ref="J8:J9"/>
    <mergeCell ref="I13:I14"/>
    <mergeCell ref="I6:I7"/>
    <mergeCell ref="I8:I9"/>
    <mergeCell ref="F13:F14"/>
    <mergeCell ref="E6:E7"/>
    <mergeCell ref="E8:E9"/>
    <mergeCell ref="E13:E14"/>
    <mergeCell ref="J13:J14"/>
    <mergeCell ref="H8:H9"/>
    <mergeCell ref="H6:H7"/>
    <mergeCell ref="H13:H14"/>
    <mergeCell ref="G8:G9"/>
    <mergeCell ref="G13:G14"/>
    <mergeCell ref="G6:G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workbookViewId="0">
      <selection sqref="A1:C1"/>
    </sheetView>
  </sheetViews>
  <sheetFormatPr defaultRowHeight="15" x14ac:dyDescent="0.25"/>
  <cols>
    <col min="1" max="1" width="13.42578125" style="89" customWidth="1"/>
    <col min="2" max="2" width="3.140625" customWidth="1"/>
    <col min="3" max="3" width="13.140625" customWidth="1"/>
    <col min="4" max="4" width="5.28515625" customWidth="1"/>
    <col min="5" max="5" width="14.140625" customWidth="1"/>
    <col min="6" max="6" width="13.85546875" customWidth="1"/>
    <col min="7" max="8" width="6.28515625" customWidth="1"/>
    <col min="9" max="9" width="5.28515625" customWidth="1"/>
    <col min="10" max="11" width="6.7109375" customWidth="1"/>
    <col min="12" max="12" width="5.7109375" customWidth="1"/>
    <col min="13" max="13" width="4.7109375" customWidth="1"/>
    <col min="14" max="15" width="5.7109375" customWidth="1"/>
    <col min="16" max="16" width="6.7109375" customWidth="1"/>
    <col min="17" max="18" width="7.28515625" customWidth="1"/>
    <col min="20" max="20" width="11.85546875" style="89" customWidth="1"/>
  </cols>
  <sheetData>
    <row r="1" spans="1:18 16384:16384" ht="28.5" customHeight="1" x14ac:dyDescent="0.25">
      <c r="A1" s="206" t="s">
        <v>29</v>
      </c>
      <c r="B1" s="206"/>
      <c r="C1" s="206"/>
      <c r="D1" s="152"/>
      <c r="E1" s="153" t="s">
        <v>279</v>
      </c>
      <c r="F1" s="154" t="s">
        <v>280</v>
      </c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 16384:16384" x14ac:dyDescent="0.25">
      <c r="A2" s="84">
        <v>4801305.8499999996</v>
      </c>
      <c r="B2" s="84"/>
      <c r="C2" s="84">
        <v>6265972.7400000002</v>
      </c>
      <c r="D2" s="116"/>
      <c r="E2" s="84">
        <v>6265972.7400000002</v>
      </c>
      <c r="F2" s="84">
        <v>4777158.9800000004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XFD2" s="84"/>
    </row>
    <row r="3" spans="1:18 16384:16384" x14ac:dyDescent="0.25">
      <c r="A3" s="84">
        <v>5189.13</v>
      </c>
      <c r="B3" s="84"/>
      <c r="C3" s="84">
        <v>31827.26</v>
      </c>
      <c r="D3" s="117"/>
      <c r="E3" s="150">
        <v>486340.48</v>
      </c>
      <c r="F3" s="150">
        <v>5189.13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 16384:16384" x14ac:dyDescent="0.25">
      <c r="A4" s="84">
        <v>12099575.109999999</v>
      </c>
      <c r="B4" s="84"/>
      <c r="C4" s="84">
        <v>11214000</v>
      </c>
      <c r="D4" s="117"/>
      <c r="E4" s="150">
        <v>617630.85</v>
      </c>
      <c r="F4" s="150">
        <v>8484.4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1:18 16384:16384" x14ac:dyDescent="0.25">
      <c r="A5" s="84">
        <v>2597327.86</v>
      </c>
      <c r="B5" s="84"/>
      <c r="C5" s="84">
        <v>40403.839999999997</v>
      </c>
      <c r="D5" s="117"/>
      <c r="E5" s="84">
        <v>31827.26</v>
      </c>
      <c r="F5" s="150">
        <v>12081192.560000001</v>
      </c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1:18 16384:16384" x14ac:dyDescent="0.25">
      <c r="A6" s="84">
        <v>734</v>
      </c>
      <c r="B6" s="84"/>
      <c r="C6" s="84">
        <v>37000</v>
      </c>
      <c r="D6" s="117"/>
      <c r="E6" s="84">
        <v>11214000</v>
      </c>
      <c r="F6" s="150">
        <v>9569.9699999999993</v>
      </c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1:18 16384:16384" x14ac:dyDescent="0.25">
      <c r="A7" s="84">
        <v>27841</v>
      </c>
      <c r="B7" s="84"/>
      <c r="C7" s="84"/>
      <c r="D7" s="117"/>
      <c r="E7" s="151">
        <f>SUM(E2:E6)</f>
        <v>18615771.329999998</v>
      </c>
      <c r="F7" s="150">
        <v>1457311.09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18 16384:16384" x14ac:dyDescent="0.25">
      <c r="A8" s="84">
        <v>12671</v>
      </c>
      <c r="B8" s="84"/>
      <c r="C8" s="84"/>
      <c r="D8" s="117"/>
      <c r="E8" s="150"/>
      <c r="F8" s="84">
        <v>40403.839999999997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9" spans="1:18 16384:16384" x14ac:dyDescent="0.25">
      <c r="A9" s="84">
        <v>5250</v>
      </c>
      <c r="B9" s="84"/>
      <c r="C9" s="84"/>
      <c r="D9" s="117"/>
      <c r="E9" s="150"/>
      <c r="F9" s="84">
        <v>37000</v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</row>
    <row r="10" spans="1:18 16384:16384" x14ac:dyDescent="0.25">
      <c r="A10" s="84">
        <v>79070</v>
      </c>
      <c r="B10" s="84"/>
      <c r="C10" s="84"/>
      <c r="D10" s="117"/>
      <c r="E10" s="150"/>
      <c r="F10" s="84">
        <v>27841</v>
      </c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</row>
    <row r="11" spans="1:18 16384:16384" x14ac:dyDescent="0.25">
      <c r="A11" s="84">
        <v>1322316.2</v>
      </c>
      <c r="B11" s="84"/>
      <c r="C11" s="84"/>
      <c r="D11" s="117"/>
      <c r="E11" s="150"/>
      <c r="F11" s="84">
        <v>12671</v>
      </c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</row>
    <row r="12" spans="1:18 16384:16384" x14ac:dyDescent="0.25">
      <c r="A12" s="88">
        <f>SUM(A2:A11)</f>
        <v>20951280.149999999</v>
      </c>
      <c r="B12" s="84"/>
      <c r="C12" s="88">
        <f>SUM(C2:C11)</f>
        <v>17589203.84</v>
      </c>
      <c r="D12" s="117"/>
      <c r="E12" s="150"/>
      <c r="F12" s="84">
        <v>3730.58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</row>
    <row r="13" spans="1:18 16384:16384" x14ac:dyDescent="0.25">
      <c r="A13" s="84"/>
      <c r="B13" s="84"/>
      <c r="C13" s="84"/>
      <c r="D13" s="117"/>
      <c r="E13" s="117"/>
      <c r="F13" s="117">
        <v>1317833.29</v>
      </c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</row>
    <row r="14" spans="1:18 16384:16384" x14ac:dyDescent="0.25">
      <c r="A14" s="205">
        <f>A12+C12</f>
        <v>38540483.989999995</v>
      </c>
      <c r="B14" s="205"/>
      <c r="C14" s="205"/>
      <c r="D14" s="117"/>
      <c r="E14" s="117"/>
      <c r="F14" s="151">
        <f>SUM(F2:F13)</f>
        <v>19778385.839999996</v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</row>
    <row r="15" spans="1:18 16384:16384" x14ac:dyDescent="0.25"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1:18 16384:16384" x14ac:dyDescent="0.25">
      <c r="A16" s="177">
        <v>11067278.59</v>
      </c>
      <c r="B16">
        <v>1</v>
      </c>
      <c r="E16" s="207">
        <f>A14-E7-F14</f>
        <v>146326.8200000003</v>
      </c>
      <c r="F16" s="207"/>
    </row>
    <row r="17" spans="1:19" x14ac:dyDescent="0.25">
      <c r="A17" s="177">
        <v>26025323.199999999</v>
      </c>
      <c r="B17">
        <v>2</v>
      </c>
    </row>
    <row r="18" spans="1:19" x14ac:dyDescent="0.25">
      <c r="A18" s="177">
        <v>28575</v>
      </c>
      <c r="B18">
        <v>7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</row>
    <row r="19" spans="1:19" x14ac:dyDescent="0.25">
      <c r="A19" s="177">
        <v>1419307.2</v>
      </c>
      <c r="B19">
        <v>9</v>
      </c>
    </row>
    <row r="20" spans="1:19" x14ac:dyDescent="0.25">
      <c r="A20" s="88">
        <f>SUM(A16:A19)</f>
        <v>38540483.990000002</v>
      </c>
    </row>
    <row r="35" spans="3:20" x14ac:dyDescent="0.25"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5"/>
    </row>
    <row r="37" spans="3:20" x14ac:dyDescent="0.25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49" spans="1:1" x14ac:dyDescent="0.25">
      <c r="A49" s="115"/>
    </row>
  </sheetData>
  <mergeCells count="3">
    <mergeCell ref="A14:C14"/>
    <mergeCell ref="A1:C1"/>
    <mergeCell ref="E16:F1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A2" sqref="A2"/>
    </sheetView>
  </sheetViews>
  <sheetFormatPr defaultRowHeight="15" x14ac:dyDescent="0.25"/>
  <cols>
    <col min="1" max="1" width="18.85546875" customWidth="1"/>
    <col min="2" max="3" width="10.7109375" customWidth="1"/>
    <col min="4" max="4" width="9.7109375" customWidth="1"/>
  </cols>
  <sheetData>
    <row r="2" spans="1:4" ht="20.100000000000001" customHeight="1" x14ac:dyDescent="0.25">
      <c r="A2" s="149" t="s">
        <v>273</v>
      </c>
      <c r="B2" s="149" t="s">
        <v>269</v>
      </c>
      <c r="C2" s="149" t="s">
        <v>270</v>
      </c>
      <c r="D2" s="149" t="s">
        <v>272</v>
      </c>
    </row>
    <row r="3" spans="1:4" ht="18" customHeight="1" x14ac:dyDescent="0.25">
      <c r="A3" s="145" t="s">
        <v>258</v>
      </c>
      <c r="B3" s="146">
        <v>108488.65</v>
      </c>
      <c r="C3" s="146">
        <v>108488.65</v>
      </c>
      <c r="D3" s="146">
        <f>B3-C3</f>
        <v>0</v>
      </c>
    </row>
    <row r="4" spans="1:4" ht="18" customHeight="1" x14ac:dyDescent="0.25">
      <c r="A4" s="145" t="s">
        <v>259</v>
      </c>
      <c r="B4" s="146">
        <v>104417.16</v>
      </c>
      <c r="C4" s="146">
        <v>104417.16</v>
      </c>
      <c r="D4" s="146">
        <f t="shared" ref="D4:D14" si="0">B4-C4</f>
        <v>0</v>
      </c>
    </row>
    <row r="5" spans="1:4" ht="18" customHeight="1" x14ac:dyDescent="0.25">
      <c r="A5" s="145" t="s">
        <v>260</v>
      </c>
      <c r="B5" s="146">
        <v>62537.760000000002</v>
      </c>
      <c r="C5" s="146">
        <v>62537.760000000002</v>
      </c>
      <c r="D5" s="146">
        <f t="shared" si="0"/>
        <v>0</v>
      </c>
    </row>
    <row r="6" spans="1:4" ht="18" customHeight="1" x14ac:dyDescent="0.25">
      <c r="A6" s="145" t="s">
        <v>261</v>
      </c>
      <c r="B6" s="146">
        <v>60654.41</v>
      </c>
      <c r="C6" s="146">
        <v>60653.41</v>
      </c>
      <c r="D6" s="146">
        <f t="shared" si="0"/>
        <v>1</v>
      </c>
    </row>
    <row r="7" spans="1:4" ht="18" customHeight="1" x14ac:dyDescent="0.25">
      <c r="A7" s="145" t="s">
        <v>262</v>
      </c>
      <c r="B7" s="146">
        <v>63474.67</v>
      </c>
      <c r="C7" s="146">
        <v>63474.67</v>
      </c>
      <c r="D7" s="146">
        <f t="shared" si="0"/>
        <v>0</v>
      </c>
    </row>
    <row r="8" spans="1:4" ht="18" customHeight="1" x14ac:dyDescent="0.25">
      <c r="A8" s="145" t="s">
        <v>263</v>
      </c>
      <c r="B8" s="146">
        <v>99500.3</v>
      </c>
      <c r="C8" s="146">
        <v>99500.3</v>
      </c>
      <c r="D8" s="146">
        <f t="shared" si="0"/>
        <v>0</v>
      </c>
    </row>
    <row r="9" spans="1:4" ht="18" customHeight="1" x14ac:dyDescent="0.25">
      <c r="A9" s="145" t="s">
        <v>264</v>
      </c>
      <c r="B9" s="146">
        <v>49438.94</v>
      </c>
      <c r="C9" s="146">
        <v>49438.93</v>
      </c>
      <c r="D9" s="146">
        <f t="shared" si="0"/>
        <v>1.0000000002037268E-2</v>
      </c>
    </row>
    <row r="10" spans="1:4" ht="18" customHeight="1" x14ac:dyDescent="0.25">
      <c r="A10" s="145" t="s">
        <v>265</v>
      </c>
      <c r="B10" s="146">
        <v>59870.71</v>
      </c>
      <c r="C10" s="146">
        <v>46846.43</v>
      </c>
      <c r="D10" s="146">
        <f t="shared" si="0"/>
        <v>13024.279999999999</v>
      </c>
    </row>
    <row r="11" spans="1:4" ht="18" customHeight="1" x14ac:dyDescent="0.25">
      <c r="A11" s="145" t="s">
        <v>266</v>
      </c>
      <c r="B11" s="146">
        <v>76746.52</v>
      </c>
      <c r="C11" s="146">
        <v>76746.52</v>
      </c>
      <c r="D11" s="146">
        <f t="shared" si="0"/>
        <v>0</v>
      </c>
    </row>
    <row r="12" spans="1:4" ht="18" customHeight="1" x14ac:dyDescent="0.25">
      <c r="A12" s="145" t="s">
        <v>267</v>
      </c>
      <c r="B12" s="146">
        <v>71560.88</v>
      </c>
      <c r="C12" s="146">
        <v>71560.88</v>
      </c>
      <c r="D12" s="146">
        <f t="shared" si="0"/>
        <v>0</v>
      </c>
    </row>
    <row r="13" spans="1:4" ht="18" customHeight="1" x14ac:dyDescent="0.25">
      <c r="A13" s="145" t="s">
        <v>268</v>
      </c>
      <c r="B13" s="146">
        <v>211800</v>
      </c>
      <c r="C13" s="146">
        <v>211800</v>
      </c>
      <c r="D13" s="146">
        <f t="shared" si="0"/>
        <v>0</v>
      </c>
    </row>
    <row r="14" spans="1:4" s="6" customFormat="1" ht="20.100000000000001" customHeight="1" x14ac:dyDescent="0.25">
      <c r="A14" s="147" t="s">
        <v>271</v>
      </c>
      <c r="B14" s="148">
        <f>SUM(B3:B13)</f>
        <v>968489.99999999988</v>
      </c>
      <c r="C14" s="148">
        <f>SUM(C3:C13)</f>
        <v>955464.71000000008</v>
      </c>
      <c r="D14" s="148">
        <f t="shared" si="0"/>
        <v>13025.289999999804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4</vt:lpstr>
      <vt:lpstr>Таблица 5</vt:lpstr>
      <vt:lpstr>Госпрограммы</vt:lpstr>
      <vt:lpstr>Остатки</vt:lpstr>
      <vt:lpstr>Передача полномочий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Довгучиц</cp:lastModifiedBy>
  <cp:lastPrinted>2017-04-26T07:54:15Z</cp:lastPrinted>
  <dcterms:created xsi:type="dcterms:W3CDTF">2013-04-04T03:38:30Z</dcterms:created>
  <dcterms:modified xsi:type="dcterms:W3CDTF">2017-04-26T07:55:39Z</dcterms:modified>
</cp:coreProperties>
</file>